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3200" windowHeight="10815"/>
  </bookViews>
  <sheets>
    <sheet name="Pig Spaces" sheetId="1" r:id="rId1"/>
    <sheet name="open1" sheetId="2" r:id="rId2"/>
    <sheet name="open2" sheetId="3" r:id="rId3"/>
  </sheets>
  <definedNames>
    <definedName name="_xlnm.Print_Area" localSheetId="0">'Pig Spaces'!$A$1:$O$87</definedName>
    <definedName name="_xlnm.Print_Titles" localSheetId="0">'Pig Spaces'!$1:$7</definedName>
  </definedNames>
  <calcPr calcId="125725"/>
</workbook>
</file>

<file path=xl/calcChain.xml><?xml version="1.0" encoding="utf-8"?>
<calcChain xmlns="http://schemas.openxmlformats.org/spreadsheetml/2006/main">
  <c r="L71" i="1"/>
  <c r="E71"/>
  <c r="K71"/>
  <c r="D71"/>
  <c r="D77"/>
  <c r="E29"/>
  <c r="D29"/>
  <c r="G49"/>
  <c r="AV56"/>
  <c r="AV27"/>
  <c r="AV26"/>
  <c r="AV25"/>
  <c r="G51"/>
  <c r="G50"/>
  <c r="P50"/>
  <c r="P51"/>
  <c r="G10"/>
  <c r="E86"/>
  <c r="D86"/>
  <c r="L86"/>
  <c r="K86"/>
  <c r="N85"/>
  <c r="M85"/>
  <c r="G85"/>
  <c r="L85"/>
  <c r="K85"/>
  <c r="D85"/>
  <c r="E85"/>
  <c r="L79"/>
  <c r="E79"/>
  <c r="E69"/>
  <c r="L69"/>
  <c r="N30"/>
  <c r="M30"/>
  <c r="E82"/>
  <c r="D82"/>
  <c r="E76"/>
  <c r="L76"/>
  <c r="D76"/>
  <c r="K76"/>
  <c r="E74"/>
  <c r="L74"/>
  <c r="D74"/>
  <c r="K74"/>
  <c r="E73"/>
  <c r="E75" s="1"/>
  <c r="E77" s="1"/>
  <c r="L73"/>
  <c r="D73"/>
  <c r="D75" s="1"/>
  <c r="K73"/>
  <c r="L75"/>
  <c r="L77" s="1"/>
  <c r="K75"/>
  <c r="K77" s="1"/>
  <c r="AU55"/>
  <c r="AT55"/>
  <c r="AS55"/>
  <c r="AU54"/>
  <c r="AT54"/>
  <c r="AS54"/>
  <c r="AU53"/>
  <c r="AT53"/>
  <c r="AS53"/>
  <c r="AU52"/>
  <c r="AT52"/>
  <c r="AS52"/>
  <c r="AU51"/>
  <c r="AT51"/>
  <c r="AS51"/>
  <c r="AU50"/>
  <c r="AT50"/>
  <c r="AS50"/>
  <c r="AU49"/>
  <c r="AT49"/>
  <c r="AS49"/>
  <c r="AU48"/>
  <c r="AT48"/>
  <c r="AS48"/>
  <c r="AU47"/>
  <c r="AT47"/>
  <c r="AS47"/>
  <c r="AU46"/>
  <c r="AT46"/>
  <c r="AS46"/>
  <c r="AU45"/>
  <c r="AT45"/>
  <c r="AS45"/>
  <c r="AU44"/>
  <c r="AT44"/>
  <c r="AS44"/>
  <c r="AU43"/>
  <c r="AT43"/>
  <c r="AS43"/>
  <c r="AU42"/>
  <c r="AT42"/>
  <c r="AS42"/>
  <c r="AU41"/>
  <c r="AT41"/>
  <c r="AS41"/>
  <c r="AU40"/>
  <c r="AT40"/>
  <c r="AS40"/>
  <c r="AU39"/>
  <c r="AT39"/>
  <c r="AS39"/>
  <c r="AU38"/>
  <c r="AT38"/>
  <c r="AS38"/>
  <c r="AU37"/>
  <c r="AT37"/>
  <c r="AS37"/>
  <c r="AU36"/>
  <c r="AT36"/>
  <c r="AS36"/>
  <c r="AU35"/>
  <c r="AT35"/>
  <c r="AS35"/>
  <c r="AU34"/>
  <c r="AT34"/>
  <c r="AS34"/>
  <c r="AU33"/>
  <c r="AT33"/>
  <c r="AS33"/>
  <c r="AU32"/>
  <c r="AT32"/>
  <c r="AS32"/>
  <c r="AU31"/>
  <c r="AT31"/>
  <c r="AS31"/>
  <c r="AU30"/>
  <c r="AT30"/>
  <c r="AS30"/>
  <c r="AT29"/>
  <c r="AS29"/>
  <c r="AS28"/>
  <c r="AU29"/>
  <c r="AU28"/>
  <c r="AT28"/>
  <c r="AU27"/>
  <c r="AT27"/>
  <c r="AS27"/>
  <c r="AU26"/>
  <c r="AT26"/>
  <c r="AS26"/>
  <c r="AU25"/>
  <c r="AT25"/>
  <c r="AS25"/>
  <c r="AU24"/>
  <c r="AT24"/>
  <c r="AS24"/>
  <c r="AU23"/>
  <c r="AT23"/>
  <c r="AS23"/>
  <c r="AU22"/>
  <c r="AT22"/>
  <c r="AS22"/>
  <c r="AU21"/>
  <c r="AT21"/>
  <c r="AS21"/>
  <c r="AU20"/>
  <c r="AT20"/>
  <c r="AS20"/>
  <c r="AU19"/>
  <c r="AT19"/>
  <c r="AS19"/>
  <c r="AU18"/>
  <c r="AT18"/>
  <c r="AS18"/>
  <c r="AU17"/>
  <c r="AT17"/>
  <c r="AS17"/>
  <c r="AU16"/>
  <c r="AT16"/>
  <c r="AS16"/>
  <c r="AU15"/>
  <c r="AT15"/>
  <c r="AS15"/>
  <c r="AU14"/>
  <c r="AT14"/>
  <c r="AS14"/>
  <c r="AU13"/>
  <c r="AT13"/>
  <c r="AS13"/>
  <c r="AU12"/>
  <c r="AT12"/>
  <c r="AS12"/>
  <c r="AU11"/>
  <c r="AT11"/>
  <c r="AS11"/>
  <c r="AU10"/>
  <c r="AT10"/>
  <c r="AS10"/>
  <c r="AU9"/>
  <c r="AT9"/>
  <c r="AS9"/>
  <c r="AU8"/>
  <c r="AT8"/>
  <c r="AS8"/>
  <c r="AU7"/>
  <c r="AT7"/>
  <c r="AS7"/>
  <c r="AU6"/>
  <c r="AT6"/>
  <c r="AS6"/>
  <c r="AU5"/>
  <c r="AT5"/>
  <c r="AS5"/>
  <c r="AU4"/>
  <c r="AT4"/>
  <c r="AS4"/>
  <c r="AR4"/>
  <c r="AR55"/>
  <c r="AQ55"/>
  <c r="AP55"/>
  <c r="AO55"/>
  <c r="AR54"/>
  <c r="AQ54"/>
  <c r="AP54"/>
  <c r="AO54"/>
  <c r="AR53"/>
  <c r="AQ53"/>
  <c r="AP53"/>
  <c r="AO53"/>
  <c r="AR52"/>
  <c r="AQ52"/>
  <c r="AP52"/>
  <c r="AO52"/>
  <c r="AR51"/>
  <c r="AQ51"/>
  <c r="AP51"/>
  <c r="AO51"/>
  <c r="AR50"/>
  <c r="AQ50"/>
  <c r="AP50"/>
  <c r="AO50"/>
  <c r="AR49"/>
  <c r="AQ49"/>
  <c r="AP49"/>
  <c r="AO49"/>
  <c r="AR48"/>
  <c r="AQ48"/>
  <c r="AP48"/>
  <c r="AO48"/>
  <c r="AR47"/>
  <c r="AQ47"/>
  <c r="AP47"/>
  <c r="AO47"/>
  <c r="AR46"/>
  <c r="AQ46"/>
  <c r="AP46"/>
  <c r="AO46"/>
  <c r="AR45"/>
  <c r="AQ45"/>
  <c r="AP45"/>
  <c r="AO45"/>
  <c r="AR44"/>
  <c r="AQ44"/>
  <c r="AP44"/>
  <c r="AO44"/>
  <c r="AR43"/>
  <c r="AQ43"/>
  <c r="AP43"/>
  <c r="AO43"/>
  <c r="AR42"/>
  <c r="AQ42"/>
  <c r="AP42"/>
  <c r="AO42"/>
  <c r="AR41"/>
  <c r="AQ41"/>
  <c r="AP41"/>
  <c r="AO41"/>
  <c r="AR40"/>
  <c r="AQ40"/>
  <c r="AP40"/>
  <c r="AO40"/>
  <c r="AR39"/>
  <c r="AQ39"/>
  <c r="AP39"/>
  <c r="AO39"/>
  <c r="AR38"/>
  <c r="AQ38"/>
  <c r="AP38"/>
  <c r="AO38"/>
  <c r="AR37"/>
  <c r="AQ37"/>
  <c r="AP37"/>
  <c r="AO37"/>
  <c r="AR36"/>
  <c r="AQ36"/>
  <c r="AP36"/>
  <c r="AO36"/>
  <c r="AR35"/>
  <c r="AQ35"/>
  <c r="AP35"/>
  <c r="AO35"/>
  <c r="AR34"/>
  <c r="AQ34"/>
  <c r="AP34"/>
  <c r="AO34"/>
  <c r="AR33"/>
  <c r="AQ33"/>
  <c r="AP33"/>
  <c r="AO33"/>
  <c r="AR32"/>
  <c r="AQ32"/>
  <c r="AP32"/>
  <c r="AO32"/>
  <c r="AR31"/>
  <c r="AQ31"/>
  <c r="AP31"/>
  <c r="AO31"/>
  <c r="AR30"/>
  <c r="AQ30"/>
  <c r="AP30"/>
  <c r="AO30"/>
  <c r="AR29"/>
  <c r="AQ29"/>
  <c r="AP29"/>
  <c r="AO29"/>
  <c r="AR28"/>
  <c r="AQ28"/>
  <c r="AP28"/>
  <c r="AO28"/>
  <c r="AR27"/>
  <c r="AQ27"/>
  <c r="AQ26"/>
  <c r="AP27"/>
  <c r="AP26"/>
  <c r="AP25"/>
  <c r="AO27"/>
  <c r="AO26"/>
  <c r="AO25"/>
  <c r="AO24"/>
  <c r="AR26"/>
  <c r="AR25"/>
  <c r="AQ25"/>
  <c r="AR24"/>
  <c r="AQ24"/>
  <c r="AP24"/>
  <c r="AR23"/>
  <c r="AQ23"/>
  <c r="AP23"/>
  <c r="AO23"/>
  <c r="AR22"/>
  <c r="AQ22"/>
  <c r="AP22"/>
  <c r="AO22"/>
  <c r="AR21"/>
  <c r="AQ21"/>
  <c r="AP21"/>
  <c r="AO21"/>
  <c r="AR20"/>
  <c r="AQ20"/>
  <c r="AP20"/>
  <c r="AO20"/>
  <c r="AR19"/>
  <c r="AQ19"/>
  <c r="AP19"/>
  <c r="AO19"/>
  <c r="AR18"/>
  <c r="AQ18"/>
  <c r="AP18"/>
  <c r="AO18"/>
  <c r="AR17"/>
  <c r="AQ17"/>
  <c r="AP17"/>
  <c r="AO17"/>
  <c r="AR16"/>
  <c r="AQ16"/>
  <c r="AP16"/>
  <c r="AO16"/>
  <c r="AR15"/>
  <c r="AQ15"/>
  <c r="AP15"/>
  <c r="AO15"/>
  <c r="AR14"/>
  <c r="AQ14"/>
  <c r="AP14"/>
  <c r="AO14"/>
  <c r="AR13"/>
  <c r="AQ13"/>
  <c r="AP13"/>
  <c r="AO13"/>
  <c r="AR12"/>
  <c r="AQ12"/>
  <c r="AP12"/>
  <c r="AO12"/>
  <c r="AR11"/>
  <c r="AQ11"/>
  <c r="AP11"/>
  <c r="AO11"/>
  <c r="AR10"/>
  <c r="AQ10"/>
  <c r="AP10"/>
  <c r="AO10"/>
  <c r="AR9"/>
  <c r="AQ9"/>
  <c r="AP9"/>
  <c r="AO9"/>
  <c r="AR8"/>
  <c r="AQ8"/>
  <c r="AP8"/>
  <c r="AO8"/>
  <c r="AR7"/>
  <c r="AQ7"/>
  <c r="AP7"/>
  <c r="AO7"/>
  <c r="AR6"/>
  <c r="AQ6"/>
  <c r="AP6"/>
  <c r="AO6"/>
  <c r="AR5"/>
  <c r="AQ5"/>
  <c r="AP5"/>
  <c r="AO5"/>
  <c r="AQ4"/>
  <c r="AP4"/>
  <c r="AO4"/>
  <c r="AA4"/>
  <c r="AF55"/>
  <c r="AE55"/>
  <c r="AD55"/>
  <c r="AC55"/>
  <c r="AB55"/>
  <c r="AA55"/>
  <c r="AF54"/>
  <c r="AE54"/>
  <c r="AD54"/>
  <c r="AC54"/>
  <c r="AB54"/>
  <c r="AA54"/>
  <c r="AF53"/>
  <c r="AE53"/>
  <c r="AD53"/>
  <c r="AC53"/>
  <c r="AB53"/>
  <c r="AA53"/>
  <c r="AF52"/>
  <c r="AE52"/>
  <c r="AD52"/>
  <c r="AC52"/>
  <c r="AB52"/>
  <c r="AA52"/>
  <c r="AF51"/>
  <c r="AE51"/>
  <c r="AD51"/>
  <c r="AC51"/>
  <c r="AB51"/>
  <c r="AA51"/>
  <c r="AF50"/>
  <c r="AE50"/>
  <c r="AD50"/>
  <c r="AC50"/>
  <c r="AB50"/>
  <c r="AA50"/>
  <c r="AF49"/>
  <c r="AE49"/>
  <c r="AD49"/>
  <c r="AC49"/>
  <c r="AB49"/>
  <c r="AA49"/>
  <c r="AF48"/>
  <c r="AE48"/>
  <c r="AD48"/>
  <c r="AC48"/>
  <c r="AB48"/>
  <c r="AA48"/>
  <c r="AF47"/>
  <c r="AE47"/>
  <c r="AD47"/>
  <c r="AC47"/>
  <c r="AB47"/>
  <c r="AA47"/>
  <c r="AF46"/>
  <c r="AE46"/>
  <c r="AD46"/>
  <c r="AC46"/>
  <c r="AB46"/>
  <c r="AA46"/>
  <c r="AF45"/>
  <c r="AE45"/>
  <c r="AD45"/>
  <c r="AC45"/>
  <c r="AB45"/>
  <c r="AA45"/>
  <c r="AF44"/>
  <c r="AE44"/>
  <c r="AD44"/>
  <c r="AC44"/>
  <c r="AB44"/>
  <c r="AA44"/>
  <c r="AF43"/>
  <c r="AE43"/>
  <c r="AD43"/>
  <c r="AC43"/>
  <c r="AB43"/>
  <c r="AA43"/>
  <c r="AF42"/>
  <c r="AE42"/>
  <c r="AD42"/>
  <c r="AC42"/>
  <c r="AB42"/>
  <c r="AA42"/>
  <c r="AF41"/>
  <c r="AE41"/>
  <c r="AD41"/>
  <c r="AC41"/>
  <c r="AB41"/>
  <c r="AA41"/>
  <c r="AF40"/>
  <c r="AE40"/>
  <c r="AD40"/>
  <c r="AC40"/>
  <c r="AB40"/>
  <c r="AA40"/>
  <c r="AF39"/>
  <c r="AE39"/>
  <c r="AD39"/>
  <c r="AC39"/>
  <c r="AB39"/>
  <c r="AA39"/>
  <c r="AF38"/>
  <c r="AE38"/>
  <c r="AD38"/>
  <c r="AC38"/>
  <c r="AB38"/>
  <c r="AA38"/>
  <c r="AF37"/>
  <c r="AE37"/>
  <c r="AD37"/>
  <c r="AC37"/>
  <c r="AB37"/>
  <c r="AA37"/>
  <c r="AF36"/>
  <c r="AE36"/>
  <c r="AD36"/>
  <c r="AC36"/>
  <c r="AB36"/>
  <c r="AA36"/>
  <c r="AF35"/>
  <c r="AE35"/>
  <c r="AD35"/>
  <c r="AC35"/>
  <c r="AB35"/>
  <c r="AA35"/>
  <c r="AF34"/>
  <c r="AE34"/>
  <c r="AD34"/>
  <c r="AC34"/>
  <c r="AB34"/>
  <c r="AA34"/>
  <c r="AF33"/>
  <c r="AE33"/>
  <c r="AD33"/>
  <c r="AC33"/>
  <c r="AB33"/>
  <c r="AA33"/>
  <c r="AF32"/>
  <c r="AE32"/>
  <c r="AD32"/>
  <c r="AC32"/>
  <c r="AB32"/>
  <c r="AA32"/>
  <c r="AF31"/>
  <c r="AE31"/>
  <c r="AD31"/>
  <c r="AC31"/>
  <c r="AB31"/>
  <c r="AA31"/>
  <c r="AF30"/>
  <c r="AE30"/>
  <c r="AD30"/>
  <c r="AC30"/>
  <c r="AB30"/>
  <c r="AA30"/>
  <c r="AF29"/>
  <c r="AE29"/>
  <c r="AD29"/>
  <c r="AC29"/>
  <c r="AB29"/>
  <c r="AA29"/>
  <c r="AF28"/>
  <c r="AE28"/>
  <c r="AD28"/>
  <c r="AC28"/>
  <c r="AB28"/>
  <c r="AA28"/>
  <c r="AF27"/>
  <c r="AE27"/>
  <c r="AD27"/>
  <c r="AC27"/>
  <c r="AB27"/>
  <c r="AA27"/>
  <c r="AF26"/>
  <c r="AE26"/>
  <c r="AD26"/>
  <c r="AC26"/>
  <c r="AB26"/>
  <c r="AA26"/>
  <c r="AF25"/>
  <c r="AE25"/>
  <c r="AD25"/>
  <c r="AC25"/>
  <c r="AB25"/>
  <c r="AA25"/>
  <c r="AF24"/>
  <c r="AE24"/>
  <c r="AD24"/>
  <c r="AC24"/>
  <c r="AB24"/>
  <c r="AA24"/>
  <c r="AF23"/>
  <c r="AE23"/>
  <c r="AD23"/>
  <c r="AC23"/>
  <c r="AB23"/>
  <c r="AA23"/>
  <c r="AF22"/>
  <c r="AE22"/>
  <c r="AD22"/>
  <c r="AC22"/>
  <c r="AB22"/>
  <c r="AA22"/>
  <c r="AF21"/>
  <c r="AE21"/>
  <c r="AD21"/>
  <c r="AC21"/>
  <c r="AB21"/>
  <c r="AA21"/>
  <c r="AF20"/>
  <c r="AE20"/>
  <c r="AD20"/>
  <c r="AC20"/>
  <c r="AB20"/>
  <c r="AA20"/>
  <c r="AF19"/>
  <c r="AE19"/>
  <c r="AD19"/>
  <c r="AC19"/>
  <c r="AB19"/>
  <c r="AA19"/>
  <c r="AF18"/>
  <c r="AE18"/>
  <c r="AD18"/>
  <c r="AC18"/>
  <c r="AB18"/>
  <c r="AA18"/>
  <c r="AF17"/>
  <c r="AE17"/>
  <c r="AD17"/>
  <c r="AC17"/>
  <c r="AB17"/>
  <c r="AA17"/>
  <c r="AF16"/>
  <c r="AE16"/>
  <c r="AD16"/>
  <c r="AC16"/>
  <c r="AB16"/>
  <c r="AA16"/>
  <c r="AF15"/>
  <c r="AE15"/>
  <c r="AD15"/>
  <c r="AC15"/>
  <c r="AB15"/>
  <c r="AA15"/>
  <c r="AE14"/>
  <c r="AD14"/>
  <c r="AC14"/>
  <c r="AB14"/>
  <c r="AA14"/>
  <c r="AD13"/>
  <c r="AC13"/>
  <c r="AB13"/>
  <c r="AA13"/>
  <c r="AC12"/>
  <c r="AB12"/>
  <c r="AA12"/>
  <c r="AB11"/>
  <c r="AA11"/>
  <c r="AA10"/>
  <c r="AF14"/>
  <c r="AF13"/>
  <c r="AE13"/>
  <c r="AF12"/>
  <c r="AE12"/>
  <c r="AD12"/>
  <c r="AF11"/>
  <c r="AE11"/>
  <c r="AD11"/>
  <c r="AC11"/>
  <c r="AF10"/>
  <c r="AE10"/>
  <c r="AD10"/>
  <c r="AC10"/>
  <c r="AB10"/>
  <c r="AF9"/>
  <c r="AE9"/>
  <c r="AD9"/>
  <c r="AC9"/>
  <c r="AB9"/>
  <c r="AA9"/>
  <c r="AF8"/>
  <c r="AE8"/>
  <c r="AD8"/>
  <c r="AC8"/>
  <c r="AB8"/>
  <c r="AA8"/>
  <c r="AF7"/>
  <c r="AE7"/>
  <c r="AD7"/>
  <c r="AC7"/>
  <c r="AB7"/>
  <c r="AA7"/>
  <c r="AF6"/>
  <c r="AE6"/>
  <c r="AD6"/>
  <c r="AC6"/>
  <c r="AB6"/>
  <c r="AA6"/>
  <c r="AF5"/>
  <c r="AE5"/>
  <c r="AD5"/>
  <c r="AC5"/>
  <c r="AB5"/>
  <c r="AA5"/>
  <c r="AF4"/>
  <c r="AE4"/>
  <c r="AD4"/>
  <c r="AC4"/>
  <c r="AB4"/>
  <c r="O1"/>
  <c r="E41"/>
  <c r="D41"/>
  <c r="K67"/>
  <c r="D67"/>
  <c r="N15"/>
  <c r="N14"/>
  <c r="L56"/>
  <c r="E56"/>
  <c r="D56"/>
  <c r="J50"/>
  <c r="M25"/>
  <c r="L59" s="1"/>
  <c r="L83" s="1"/>
  <c r="L25"/>
  <c r="D57" s="1"/>
  <c r="D58" s="1"/>
  <c r="D79" s="1"/>
  <c r="K56"/>
  <c r="K69" s="1"/>
  <c r="E21"/>
  <c r="D21"/>
  <c r="E19"/>
  <c r="D19"/>
  <c r="V6"/>
  <c r="V7" s="1"/>
  <c r="V8" s="1"/>
  <c r="V9" s="1"/>
  <c r="V10" s="1"/>
  <c r="V11" s="1"/>
  <c r="V12" s="1"/>
  <c r="V13" s="1"/>
  <c r="V14" s="1"/>
  <c r="V15" s="1"/>
  <c r="V16" s="1"/>
  <c r="V17" s="1"/>
  <c r="V18" s="1"/>
  <c r="V19" s="1"/>
  <c r="V20" s="1"/>
  <c r="V21" s="1"/>
  <c r="V22" s="1"/>
  <c r="V23" s="1"/>
  <c r="V24" s="1"/>
  <c r="V25" s="1"/>
  <c r="V26" s="1"/>
  <c r="V27" s="1"/>
  <c r="V28" s="1"/>
  <c r="V29" s="1"/>
  <c r="V30" s="1"/>
  <c r="V31" s="1"/>
  <c r="V32" s="1"/>
  <c r="V33" s="1"/>
  <c r="V34" s="1"/>
  <c r="V35" s="1"/>
  <c r="V36" s="1"/>
  <c r="V37" s="1"/>
  <c r="V38" s="1"/>
  <c r="V39" s="1"/>
  <c r="V40" s="1"/>
  <c r="V41" s="1"/>
  <c r="V42" s="1"/>
  <c r="V43" s="1"/>
  <c r="V44" s="1"/>
  <c r="V45" s="1"/>
  <c r="V46" s="1"/>
  <c r="V47" s="1"/>
  <c r="V48" s="1"/>
  <c r="V49" s="1"/>
  <c r="V50" s="1"/>
  <c r="V51" s="1"/>
  <c r="V52" s="1"/>
  <c r="V53" s="1"/>
  <c r="V54" s="1"/>
  <c r="V55" s="1"/>
  <c r="V5"/>
  <c r="V4"/>
  <c r="S4"/>
  <c r="R5"/>
  <c r="S5"/>
  <c r="R6"/>
  <c r="S6"/>
  <c r="R7"/>
  <c r="S7"/>
  <c r="R8"/>
  <c r="S8"/>
  <c r="R9"/>
  <c r="R10" s="1"/>
  <c r="R11" s="1"/>
  <c r="R12" s="1"/>
  <c r="R13" s="1"/>
  <c r="R14" s="1"/>
  <c r="R15" s="1"/>
  <c r="R16" s="1"/>
  <c r="R17" s="1"/>
  <c r="R18" s="1"/>
  <c r="R19" s="1"/>
  <c r="R20" s="1"/>
  <c r="R21" s="1"/>
  <c r="R22" s="1"/>
  <c r="R23" s="1"/>
  <c r="R24" s="1"/>
  <c r="R25" s="1"/>
  <c r="R26" s="1"/>
  <c r="R27" s="1"/>
  <c r="R28" s="1"/>
  <c r="R29" s="1"/>
  <c r="R30" s="1"/>
  <c r="R31" s="1"/>
  <c r="R32" s="1"/>
  <c r="R33" s="1"/>
  <c r="R34" s="1"/>
  <c r="R35" s="1"/>
  <c r="R36" s="1"/>
  <c r="R37" s="1"/>
  <c r="R38" s="1"/>
  <c r="R39" s="1"/>
  <c r="R40" s="1"/>
  <c r="R41" s="1"/>
  <c r="R42" s="1"/>
  <c r="R43" s="1"/>
  <c r="R44" s="1"/>
  <c r="R45" s="1"/>
  <c r="R46" s="1"/>
  <c r="R47" s="1"/>
  <c r="R48" s="1"/>
  <c r="R49" s="1"/>
  <c r="R50" s="1"/>
  <c r="R51" s="1"/>
  <c r="R52" s="1"/>
  <c r="R53" s="1"/>
  <c r="R54" s="1"/>
  <c r="R55" s="1"/>
  <c r="S9"/>
  <c r="S10"/>
  <c r="T16" s="1"/>
  <c r="U44" s="1"/>
  <c r="T10"/>
  <c r="AN29" s="1"/>
  <c r="S11"/>
  <c r="T17" s="1"/>
  <c r="U45" s="1"/>
  <c r="T11"/>
  <c r="AK27" s="1"/>
  <c r="S12"/>
  <c r="T18" s="1"/>
  <c r="U46" s="1"/>
  <c r="T12"/>
  <c r="AN31" s="1"/>
  <c r="S13"/>
  <c r="T19" s="1"/>
  <c r="U47" s="1"/>
  <c r="T13"/>
  <c r="AI27" s="1"/>
  <c r="S14"/>
  <c r="T20" s="1"/>
  <c r="U48" s="1"/>
  <c r="T14"/>
  <c r="AN33" s="1"/>
  <c r="S15"/>
  <c r="T21" s="1"/>
  <c r="U49" s="1"/>
  <c r="T15"/>
  <c r="AN34" s="1"/>
  <c r="S16"/>
  <c r="T22" s="1"/>
  <c r="U50" s="1"/>
  <c r="S24"/>
  <c r="T30" s="1"/>
  <c r="U6" s="1"/>
  <c r="U38"/>
  <c r="U39"/>
  <c r="S40"/>
  <c r="S41" s="1"/>
  <c r="U40"/>
  <c r="U41"/>
  <c r="U42"/>
  <c r="U43"/>
  <c r="S54"/>
  <c r="T8" s="1"/>
  <c r="U36" s="1"/>
  <c r="H15"/>
  <c r="H14"/>
  <c r="H13"/>
  <c r="S55" l="1"/>
  <c r="T46"/>
  <c r="M49"/>
  <c r="M50"/>
  <c r="W9"/>
  <c r="W11"/>
  <c r="W15"/>
  <c r="AH21"/>
  <c r="AH23"/>
  <c r="AH25"/>
  <c r="AI25"/>
  <c r="AJ26"/>
  <c r="AK24"/>
  <c r="AK26"/>
  <c r="AL25"/>
  <c r="AL27"/>
  <c r="AH26"/>
  <c r="AH27"/>
  <c r="AH28"/>
  <c r="AJ28"/>
  <c r="AL28"/>
  <c r="AI29"/>
  <c r="AK29"/>
  <c r="AM29"/>
  <c r="AH30"/>
  <c r="AJ30"/>
  <c r="AL30"/>
  <c r="AN30"/>
  <c r="AI31"/>
  <c r="AK31"/>
  <c r="AM31"/>
  <c r="AH32"/>
  <c r="AJ32"/>
  <c r="AL32"/>
  <c r="AN32"/>
  <c r="AI33"/>
  <c r="AK33"/>
  <c r="AM33"/>
  <c r="AH34"/>
  <c r="AJ34"/>
  <c r="AL34"/>
  <c r="AI35"/>
  <c r="AK35"/>
  <c r="AM35"/>
  <c r="AJ36"/>
  <c r="AL36"/>
  <c r="AN36"/>
  <c r="AK37"/>
  <c r="AM37"/>
  <c r="AL38"/>
  <c r="AN38"/>
  <c r="AM39"/>
  <c r="AN40"/>
  <c r="W7"/>
  <c r="W8"/>
  <c r="W10"/>
  <c r="W12"/>
  <c r="W13"/>
  <c r="W14"/>
  <c r="E50" s="1"/>
  <c r="W16"/>
  <c r="AH24"/>
  <c r="AI22"/>
  <c r="AI24"/>
  <c r="AJ23"/>
  <c r="AJ25"/>
  <c r="AJ27"/>
  <c r="AM26"/>
  <c r="AN27"/>
  <c r="AI26"/>
  <c r="AI28"/>
  <c r="AK28"/>
  <c r="AM28"/>
  <c r="AH29"/>
  <c r="AJ29"/>
  <c r="AL29"/>
  <c r="AI30"/>
  <c r="AK30"/>
  <c r="AM30"/>
  <c r="AH31"/>
  <c r="AJ31"/>
  <c r="AL31"/>
  <c r="AI32"/>
  <c r="AK32"/>
  <c r="AM32"/>
  <c r="AH33"/>
  <c r="AJ33"/>
  <c r="AL33"/>
  <c r="AI34"/>
  <c r="AK34"/>
  <c r="AM34"/>
  <c r="AH35"/>
  <c r="AJ35"/>
  <c r="AL35"/>
  <c r="AN35"/>
  <c r="AI36"/>
  <c r="AK36"/>
  <c r="AM36"/>
  <c r="AJ37"/>
  <c r="AL37"/>
  <c r="AN37"/>
  <c r="AK38"/>
  <c r="AM38"/>
  <c r="AL39"/>
  <c r="AN39"/>
  <c r="AM40"/>
  <c r="AN41"/>
  <c r="AH43"/>
  <c r="AI44"/>
  <c r="AJ45"/>
  <c r="AK46"/>
  <c r="AL47"/>
  <c r="AM48"/>
  <c r="AN49"/>
  <c r="E57"/>
  <c r="E58" s="1"/>
  <c r="E83" s="1"/>
  <c r="D69"/>
  <c r="L82"/>
  <c r="D83"/>
  <c r="K59"/>
  <c r="L60"/>
  <c r="L61"/>
  <c r="K60"/>
  <c r="K61"/>
  <c r="K62"/>
  <c r="D62"/>
  <c r="D66" s="1"/>
  <c r="D60"/>
  <c r="D61"/>
  <c r="D68" s="1"/>
  <c r="E60"/>
  <c r="E61"/>
  <c r="S42"/>
  <c r="T47"/>
  <c r="S25"/>
  <c r="S17"/>
  <c r="T48"/>
  <c r="S43"/>
  <c r="T9"/>
  <c r="W17" l="1"/>
  <c r="U23"/>
  <c r="AN14"/>
  <c r="AM13"/>
  <c r="AL12"/>
  <c r="AK11"/>
  <c r="AJ10"/>
  <c r="AI9"/>
  <c r="AH8"/>
  <c r="U37"/>
  <c r="AL26"/>
  <c r="AK25"/>
  <c r="AH22"/>
  <c r="AN28"/>
  <c r="AM27"/>
  <c r="AJ24"/>
  <c r="AI23"/>
  <c r="U24"/>
  <c r="AN15"/>
  <c r="AM14"/>
  <c r="AL13"/>
  <c r="AK12"/>
  <c r="AJ11"/>
  <c r="AI10"/>
  <c r="AH9"/>
  <c r="U22"/>
  <c r="AN13"/>
  <c r="AM12"/>
  <c r="AL11"/>
  <c r="AK10"/>
  <c r="AJ9"/>
  <c r="AI8"/>
  <c r="AH7"/>
  <c r="K79"/>
  <c r="K83" s="1"/>
  <c r="K82"/>
  <c r="L58"/>
  <c r="L62" s="1"/>
  <c r="K66"/>
  <c r="K68"/>
  <c r="E59"/>
  <c r="E62" s="1"/>
  <c r="E68" s="1"/>
  <c r="T23"/>
  <c r="S18"/>
  <c r="T31"/>
  <c r="S26"/>
  <c r="S44"/>
  <c r="T49"/>
  <c r="U25" l="1"/>
  <c r="AN16"/>
  <c r="AM15"/>
  <c r="AL14"/>
  <c r="AK13"/>
  <c r="AJ12"/>
  <c r="AI11"/>
  <c r="AH10"/>
  <c r="W18"/>
  <c r="W44"/>
  <c r="U7"/>
  <c r="AN50"/>
  <c r="AM49"/>
  <c r="AL48"/>
  <c r="AK47"/>
  <c r="AJ46"/>
  <c r="AI45"/>
  <c r="AH44"/>
  <c r="U51"/>
  <c r="AN42"/>
  <c r="AM41"/>
  <c r="AL40"/>
  <c r="AK39"/>
  <c r="AJ38"/>
  <c r="AI37"/>
  <c r="AH36"/>
  <c r="L66"/>
  <c r="L68"/>
  <c r="L63"/>
  <c r="L67" s="1"/>
  <c r="K70"/>
  <c r="K78" s="1"/>
  <c r="E63"/>
  <c r="E67" s="1"/>
  <c r="E66"/>
  <c r="T24"/>
  <c r="S19"/>
  <c r="T32"/>
  <c r="S27"/>
  <c r="S45"/>
  <c r="T50"/>
  <c r="D70"/>
  <c r="D78" s="1"/>
  <c r="F85" s="1"/>
  <c r="U26" l="1"/>
  <c r="AM16"/>
  <c r="AL15"/>
  <c r="AK14"/>
  <c r="AJ13"/>
  <c r="AI12"/>
  <c r="AH11"/>
  <c r="AN17"/>
  <c r="U8"/>
  <c r="AN51"/>
  <c r="AM50"/>
  <c r="AL49"/>
  <c r="AK48"/>
  <c r="AJ47"/>
  <c r="AI46"/>
  <c r="AH45"/>
  <c r="U52"/>
  <c r="AN43"/>
  <c r="AM42"/>
  <c r="AL41"/>
  <c r="AK40"/>
  <c r="AJ39"/>
  <c r="AI38"/>
  <c r="AH37"/>
  <c r="W19"/>
  <c r="W45"/>
  <c r="E70"/>
  <c r="E78" s="1"/>
  <c r="L70"/>
  <c r="L78" s="1"/>
  <c r="T33"/>
  <c r="S28"/>
  <c r="W28" s="1"/>
  <c r="T25"/>
  <c r="S20"/>
  <c r="W20" s="1"/>
  <c r="S46"/>
  <c r="T51"/>
  <c r="W46" l="1"/>
  <c r="U53"/>
  <c r="AN44"/>
  <c r="AM43"/>
  <c r="AL42"/>
  <c r="AK41"/>
  <c r="AJ40"/>
  <c r="AI39"/>
  <c r="AH38"/>
  <c r="U9"/>
  <c r="AN52"/>
  <c r="AM51"/>
  <c r="AL50"/>
  <c r="AK49"/>
  <c r="AJ48"/>
  <c r="AI47"/>
  <c r="AH46"/>
  <c r="U27"/>
  <c r="AN18"/>
  <c r="AM17"/>
  <c r="AL16"/>
  <c r="AK15"/>
  <c r="AJ14"/>
  <c r="AI13"/>
  <c r="AH12"/>
  <c r="T26"/>
  <c r="S21"/>
  <c r="T34"/>
  <c r="S29"/>
  <c r="S47"/>
  <c r="T52"/>
  <c r="U10" l="1"/>
  <c r="AN53"/>
  <c r="AM52"/>
  <c r="AL51"/>
  <c r="AK50"/>
  <c r="AJ49"/>
  <c r="AI48"/>
  <c r="AH47"/>
  <c r="U28"/>
  <c r="AN19"/>
  <c r="AK16"/>
  <c r="AJ15"/>
  <c r="AI14"/>
  <c r="AH13"/>
  <c r="AM18"/>
  <c r="AL17"/>
  <c r="W29"/>
  <c r="W21"/>
  <c r="W47"/>
  <c r="U54"/>
  <c r="AN45"/>
  <c r="AM44"/>
  <c r="AL43"/>
  <c r="AK42"/>
  <c r="AJ41"/>
  <c r="AI40"/>
  <c r="AH39"/>
  <c r="T35"/>
  <c r="S30"/>
  <c r="T27"/>
  <c r="S22"/>
  <c r="S48"/>
  <c r="T53"/>
  <c r="AN46" l="1"/>
  <c r="AM45"/>
  <c r="AL44"/>
  <c r="AK43"/>
  <c r="AJ42"/>
  <c r="AI41"/>
  <c r="AH40"/>
  <c r="U29"/>
  <c r="AL18"/>
  <c r="AK17"/>
  <c r="AN20"/>
  <c r="AM19"/>
  <c r="AJ16"/>
  <c r="AI15"/>
  <c r="AH14"/>
  <c r="W22"/>
  <c r="W30"/>
  <c r="W48"/>
  <c r="U11"/>
  <c r="AN54"/>
  <c r="AM53"/>
  <c r="AL52"/>
  <c r="AK51"/>
  <c r="AJ50"/>
  <c r="AI49"/>
  <c r="AH48"/>
  <c r="X27"/>
  <c r="W25"/>
  <c r="T28"/>
  <c r="S23"/>
  <c r="U55"/>
  <c r="T36"/>
  <c r="S31"/>
  <c r="S49"/>
  <c r="T54"/>
  <c r="U30" l="1"/>
  <c r="AM20"/>
  <c r="AL19"/>
  <c r="AI16"/>
  <c r="AH15"/>
  <c r="AN21"/>
  <c r="AK18"/>
  <c r="AJ17"/>
  <c r="W31"/>
  <c r="AN47"/>
  <c r="AM46"/>
  <c r="AL45"/>
  <c r="AK44"/>
  <c r="AJ43"/>
  <c r="AI42"/>
  <c r="AH41"/>
  <c r="X28"/>
  <c r="W49"/>
  <c r="U12"/>
  <c r="AN55"/>
  <c r="AM54"/>
  <c r="AL53"/>
  <c r="AK52"/>
  <c r="AJ51"/>
  <c r="AI50"/>
  <c r="AH49"/>
  <c r="W27"/>
  <c r="W23"/>
  <c r="W24"/>
  <c r="W26"/>
  <c r="T37"/>
  <c r="S32"/>
  <c r="U4"/>
  <c r="T29"/>
  <c r="T55"/>
  <c r="S50"/>
  <c r="U13" l="1"/>
  <c r="AN4"/>
  <c r="AM55"/>
  <c r="AL54"/>
  <c r="AK53"/>
  <c r="AJ52"/>
  <c r="AI51"/>
  <c r="AH50"/>
  <c r="W50"/>
  <c r="AN48"/>
  <c r="AM47"/>
  <c r="AL46"/>
  <c r="AK45"/>
  <c r="AJ44"/>
  <c r="AI43"/>
  <c r="AH42"/>
  <c r="X34"/>
  <c r="X31"/>
  <c r="X30"/>
  <c r="X29"/>
  <c r="X32"/>
  <c r="X33"/>
  <c r="W32"/>
  <c r="X35"/>
  <c r="U31"/>
  <c r="AN22"/>
  <c r="AM21"/>
  <c r="AJ18"/>
  <c r="AI17"/>
  <c r="AL20"/>
  <c r="AK19"/>
  <c r="AH16"/>
  <c r="X37"/>
  <c r="X36"/>
  <c r="T38"/>
  <c r="S33"/>
  <c r="U5"/>
  <c r="T4"/>
  <c r="S51"/>
  <c r="AN23" l="1"/>
  <c r="AM22"/>
  <c r="AJ19"/>
  <c r="AI18"/>
  <c r="AL21"/>
  <c r="AK20"/>
  <c r="AH17"/>
  <c r="W33"/>
  <c r="W51"/>
  <c r="AL55"/>
  <c r="AK54"/>
  <c r="AJ53"/>
  <c r="AI52"/>
  <c r="AH51"/>
  <c r="AN5"/>
  <c r="AM4"/>
  <c r="X38"/>
  <c r="T39"/>
  <c r="S34"/>
  <c r="U14"/>
  <c r="M51" s="1"/>
  <c r="U32"/>
  <c r="S52"/>
  <c r="W52" s="1"/>
  <c r="T5"/>
  <c r="X39" l="1"/>
  <c r="AL4"/>
  <c r="AK55"/>
  <c r="AJ54"/>
  <c r="AI53"/>
  <c r="AH52"/>
  <c r="AN6"/>
  <c r="AM5"/>
  <c r="AL22"/>
  <c r="AK21"/>
  <c r="AH18"/>
  <c r="AN24"/>
  <c r="AM23"/>
  <c r="AJ20"/>
  <c r="AI19"/>
  <c r="W34"/>
  <c r="U15"/>
  <c r="S35"/>
  <c r="T40"/>
  <c r="U33"/>
  <c r="T6"/>
  <c r="S53"/>
  <c r="W6" s="1"/>
  <c r="W35" l="1"/>
  <c r="AN25"/>
  <c r="AM24"/>
  <c r="AJ21"/>
  <c r="AI20"/>
  <c r="AL23"/>
  <c r="AK22"/>
  <c r="AH19"/>
  <c r="AJ55"/>
  <c r="AI54"/>
  <c r="AH53"/>
  <c r="AN7"/>
  <c r="AM6"/>
  <c r="AL5"/>
  <c r="AK4"/>
  <c r="W53"/>
  <c r="W4"/>
  <c r="W55"/>
  <c r="W54"/>
  <c r="W5"/>
  <c r="X40"/>
  <c r="U16"/>
  <c r="T41"/>
  <c r="S36"/>
  <c r="T7"/>
  <c r="U34"/>
  <c r="AL24" l="1"/>
  <c r="X24" s="1"/>
  <c r="AK23"/>
  <c r="X23" s="1"/>
  <c r="AH20"/>
  <c r="X20" s="1"/>
  <c r="AN26"/>
  <c r="X26" s="1"/>
  <c r="AM25"/>
  <c r="X25" s="1"/>
  <c r="AJ22"/>
  <c r="X22" s="1"/>
  <c r="AI21"/>
  <c r="X21" s="1"/>
  <c r="W36"/>
  <c r="X41"/>
  <c r="X16"/>
  <c r="X17"/>
  <c r="X19"/>
  <c r="AJ4"/>
  <c r="AI55"/>
  <c r="AH54"/>
  <c r="AN8"/>
  <c r="AM7"/>
  <c r="AL6"/>
  <c r="AK5"/>
  <c r="X13"/>
  <c r="X14"/>
  <c r="E51" s="1"/>
  <c r="X18"/>
  <c r="X15"/>
  <c r="U17"/>
  <c r="S37"/>
  <c r="T42"/>
  <c r="U35"/>
  <c r="W37" l="1"/>
  <c r="X42"/>
  <c r="AH55"/>
  <c r="AN9"/>
  <c r="AM8"/>
  <c r="AL7"/>
  <c r="AK6"/>
  <c r="AJ5"/>
  <c r="AI4"/>
  <c r="U18"/>
  <c r="T43"/>
  <c r="S38"/>
  <c r="AH4" l="1"/>
  <c r="AN10"/>
  <c r="AM9"/>
  <c r="AL8"/>
  <c r="AK7"/>
  <c r="AJ6"/>
  <c r="AI5"/>
  <c r="X43"/>
  <c r="W38"/>
  <c r="S39"/>
  <c r="W43" s="1"/>
  <c r="T44"/>
  <c r="U19"/>
  <c r="W41" l="1"/>
  <c r="AN11"/>
  <c r="AM10"/>
  <c r="AL9"/>
  <c r="AK8"/>
  <c r="AJ7"/>
  <c r="AI6"/>
  <c r="AH5"/>
  <c r="X44"/>
  <c r="W40"/>
  <c r="W39"/>
  <c r="W42"/>
  <c r="T45"/>
  <c r="X53" s="1"/>
  <c r="U20"/>
  <c r="G33" l="1"/>
  <c r="E33"/>
  <c r="X54"/>
  <c r="X5"/>
  <c r="AN12"/>
  <c r="X12" s="1"/>
  <c r="AM11"/>
  <c r="X11" s="1"/>
  <c r="AL10"/>
  <c r="X10" s="1"/>
  <c r="AK9"/>
  <c r="X9" s="1"/>
  <c r="AJ8"/>
  <c r="X8" s="1"/>
  <c r="AI7"/>
  <c r="X7" s="1"/>
  <c r="AH6"/>
  <c r="X46"/>
  <c r="X45"/>
  <c r="X48"/>
  <c r="X47"/>
  <c r="X50"/>
  <c r="X49"/>
  <c r="X52"/>
  <c r="X51"/>
  <c r="X6"/>
  <c r="X4"/>
  <c r="X55"/>
  <c r="U21"/>
  <c r="E34" l="1"/>
  <c r="G34"/>
</calcChain>
</file>

<file path=xl/comments1.xml><?xml version="1.0" encoding="utf-8"?>
<comments xmlns="http://schemas.openxmlformats.org/spreadsheetml/2006/main">
  <authors>
    <author>Garland RJ Dahlke</author>
  </authors>
  <commentList>
    <comment ref="M26" authorId="0">
      <text>
        <r>
          <rPr>
            <b/>
            <sz val="8"/>
            <color indexed="81"/>
            <rFont val="Tahoma"/>
            <charset val="1"/>
          </rPr>
          <t>It is reasonable to make the user defined values 30 to 80% of the default values.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<sst xmlns="http://schemas.openxmlformats.org/spreadsheetml/2006/main" count="276" uniqueCount="151">
  <si>
    <t>June</t>
  </si>
  <si>
    <t xml:space="preserve">Sows Farrowing per Week </t>
  </si>
  <si>
    <t>pigs</t>
  </si>
  <si>
    <t>lbs/day</t>
  </si>
  <si>
    <t>$/ton</t>
  </si>
  <si>
    <t>lbs</t>
  </si>
  <si>
    <t>$/100 pigs</t>
  </si>
  <si>
    <t>Proposed Floor Space</t>
  </si>
  <si>
    <t xml:space="preserve">square feet </t>
  </si>
  <si>
    <t>Effective Change</t>
  </si>
  <si>
    <t>New Market Wt.</t>
  </si>
  <si>
    <t>Weight Value Change</t>
  </si>
  <si>
    <t>Livability Change</t>
  </si>
  <si>
    <t>Pig Space Considerations</t>
  </si>
  <si>
    <t>jan</t>
  </si>
  <si>
    <t>feb</t>
  </si>
  <si>
    <t>march</t>
  </si>
  <si>
    <t>april</t>
  </si>
  <si>
    <t>may</t>
  </si>
  <si>
    <t>june</t>
  </si>
  <si>
    <t>july</t>
  </si>
  <si>
    <t>august</t>
  </si>
  <si>
    <t>september</t>
  </si>
  <si>
    <t>oct</t>
  </si>
  <si>
    <t>nov</t>
  </si>
  <si>
    <t>dec</t>
  </si>
  <si>
    <t>Seasonal Data</t>
  </si>
  <si>
    <t>Pigs Weaned per Sow</t>
  </si>
  <si>
    <t>Nursery Mortality</t>
  </si>
  <si>
    <t>Finisher Mortality</t>
  </si>
  <si>
    <t>Spring</t>
  </si>
  <si>
    <t>Summer</t>
  </si>
  <si>
    <t>Winter</t>
  </si>
  <si>
    <t>Fall</t>
  </si>
  <si>
    <t>Current Timeline</t>
  </si>
  <si>
    <t>Age Entering Nursery</t>
  </si>
  <si>
    <t>Age Entering Finisher</t>
  </si>
  <si>
    <t>Age at Market</t>
  </si>
  <si>
    <t>Overall</t>
  </si>
  <si>
    <t>lbs     to</t>
  </si>
  <si>
    <t>Target Market Wt. Range</t>
  </si>
  <si>
    <t>sept</t>
  </si>
  <si>
    <t>aug</t>
  </si>
  <si>
    <t>apr</t>
  </si>
  <si>
    <t>mar</t>
  </si>
  <si>
    <t>pigs to nursery</t>
  </si>
  <si>
    <t>pigs to finisher</t>
  </si>
  <si>
    <t>Week of Year</t>
  </si>
  <si>
    <t>Nursery Spaces Needed</t>
  </si>
  <si>
    <t>Finisher Spaces</t>
  </si>
  <si>
    <t>Finisher Spaces Needed</t>
  </si>
  <si>
    <t>Week</t>
  </si>
  <si>
    <t>Nursery Spaces</t>
  </si>
  <si>
    <t>Max.</t>
  </si>
  <si>
    <t>Nursery Spaces - Min.</t>
  </si>
  <si>
    <t>Finisher Spaces - Min.</t>
  </si>
  <si>
    <t>Current Performance</t>
  </si>
  <si>
    <t>Nursery</t>
  </si>
  <si>
    <t>Finisher</t>
  </si>
  <si>
    <t>F:G</t>
  </si>
  <si>
    <t>Current Building Specs.</t>
  </si>
  <si>
    <t>Building Capacity</t>
  </si>
  <si>
    <t>head</t>
  </si>
  <si>
    <t>Building Cost</t>
  </si>
  <si>
    <t>$/hd/day</t>
  </si>
  <si>
    <t>$/cwt - live</t>
  </si>
  <si>
    <t>Avg Daily Gain</t>
  </si>
  <si>
    <t xml:space="preserve">Livability  </t>
  </si>
  <si>
    <t xml:space="preserve">Pen Charge </t>
  </si>
  <si>
    <t xml:space="preserve">Feed Cost </t>
  </si>
  <si>
    <t xml:space="preserve">Breakeven  </t>
  </si>
  <si>
    <t xml:space="preserve">Market Value  </t>
  </si>
  <si>
    <t>Current Floor Space/Pig</t>
  </si>
  <si>
    <t>pigs to market</t>
  </si>
  <si>
    <t>Pigs to Nursery</t>
  </si>
  <si>
    <t>Pigs to Finisher</t>
  </si>
  <si>
    <t>Pigs to Market</t>
  </si>
  <si>
    <t xml:space="preserve">Week = </t>
  </si>
  <si>
    <t>Proposed Head Count</t>
  </si>
  <si>
    <t>Floor Space/Pig</t>
  </si>
  <si>
    <t>Floor Space Adjustments</t>
  </si>
  <si>
    <t>Avg. Daily Gain</t>
  </si>
  <si>
    <t xml:space="preserve">Feed to Gain </t>
  </si>
  <si>
    <t xml:space="preserve">Livability </t>
  </si>
  <si>
    <t>per added square foot</t>
  </si>
  <si>
    <t>New Feed to Gain</t>
  </si>
  <si>
    <t>Floor Space Impact for 100 pigs</t>
  </si>
  <si>
    <t>New Head Count</t>
  </si>
  <si>
    <t>days</t>
  </si>
  <si>
    <t>New Avg. Daily Gain</t>
  </si>
  <si>
    <t>lbs / day</t>
  </si>
  <si>
    <t>Change in Days Fed</t>
  </si>
  <si>
    <t>Pen Charge Change</t>
  </si>
  <si>
    <t>Feed $ Change</t>
  </si>
  <si>
    <t>Percent Overstocking</t>
  </si>
  <si>
    <t>Prepared for:</t>
  </si>
  <si>
    <t>Prepared by:</t>
  </si>
  <si>
    <t>weeks (10-15)</t>
  </si>
  <si>
    <t>nursery weeks</t>
  </si>
  <si>
    <t>finisher weeks</t>
  </si>
  <si>
    <t>weeks 3-5</t>
  </si>
  <si>
    <t>weeks (27 - 34)</t>
  </si>
  <si>
    <t>Current Gross Income</t>
  </si>
  <si>
    <t>Current Cost</t>
  </si>
  <si>
    <t>Income Change per Turn of Building</t>
  </si>
  <si>
    <t>Current Pigs Sold</t>
  </si>
  <si>
    <t>Proposed Pigs Sold</t>
  </si>
  <si>
    <t>Proposed Net / Turn</t>
  </si>
  <si>
    <t>Current Net / Turn</t>
  </si>
  <si>
    <t xml:space="preserve">     Entering Building</t>
  </si>
  <si>
    <t xml:space="preserve">     Marketed from Building</t>
  </si>
  <si>
    <t>WorkSheet - Change in Population</t>
  </si>
  <si>
    <t>WorkSheet - Direct Change in Space Allocation</t>
  </si>
  <si>
    <t>Pig Movement</t>
  </si>
  <si>
    <t>Finished Market  Wt.</t>
  </si>
  <si>
    <t xml:space="preserve">Wt. per Pig Entering </t>
  </si>
  <si>
    <t>Yearly Space Projection</t>
  </si>
  <si>
    <t>Current Market Weights</t>
  </si>
  <si>
    <t>Input</t>
  </si>
  <si>
    <t>Output</t>
  </si>
  <si>
    <t>Iowa Pork Industry Center</t>
  </si>
  <si>
    <t>Default</t>
  </si>
  <si>
    <t>User Defined</t>
  </si>
  <si>
    <t>Surplus Pigs</t>
  </si>
  <si>
    <t>New Building Payoff Time</t>
  </si>
  <si>
    <t>years</t>
  </si>
  <si>
    <t>Weeks per Turn</t>
  </si>
  <si>
    <t>Change In Pig Numbers (new - old) per Turn</t>
  </si>
  <si>
    <t>Total Spaces</t>
  </si>
  <si>
    <t>Litters per Sow per Year</t>
  </si>
  <si>
    <t>sows</t>
  </si>
  <si>
    <t>January</t>
  </si>
  <si>
    <t>January - Feb.</t>
  </si>
  <si>
    <t>February</t>
  </si>
  <si>
    <t>February - March</t>
  </si>
  <si>
    <t>March</t>
  </si>
  <si>
    <t>April</t>
  </si>
  <si>
    <t>April-May</t>
  </si>
  <si>
    <t>May</t>
  </si>
  <si>
    <t>June-July</t>
  </si>
  <si>
    <t>July</t>
  </si>
  <si>
    <t>August</t>
  </si>
  <si>
    <t>August-Sept</t>
  </si>
  <si>
    <t>September</t>
  </si>
  <si>
    <t>October</t>
  </si>
  <si>
    <t>October-Nov</t>
  </si>
  <si>
    <t>November</t>
  </si>
  <si>
    <t>December</t>
  </si>
  <si>
    <t>Spaces / Sow</t>
  </si>
  <si>
    <t>New Spaces per Sow</t>
  </si>
  <si>
    <t>Income Change</t>
  </si>
</sst>
</file>

<file path=xl/styles.xml><?xml version="1.0" encoding="utf-8"?>
<styleSheet xmlns="http://schemas.openxmlformats.org/spreadsheetml/2006/main">
  <numFmts count="4">
    <numFmt numFmtId="164" formatCode="&quot;$&quot;#,##0.00"/>
    <numFmt numFmtId="165" formatCode="0.0"/>
    <numFmt numFmtId="166" formatCode="0.0%"/>
    <numFmt numFmtId="167" formatCode="&quot;$&quot;#,##0"/>
  </numFmts>
  <fonts count="2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FFFFCC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FF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b/>
      <sz val="16"/>
      <color theme="1"/>
      <name val="Calibri"/>
      <family val="2"/>
      <scheme val="minor"/>
    </font>
    <font>
      <i/>
      <sz val="9"/>
      <name val="Calibri"/>
      <family val="2"/>
      <scheme val="minor"/>
    </font>
    <font>
      <i/>
      <sz val="11"/>
      <color rgb="FF00B05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i/>
      <sz val="11"/>
      <color rgb="FF00B0F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1" xfId="0" applyFill="1" applyBorder="1" applyProtection="1">
      <protection locked="0"/>
    </xf>
    <xf numFmtId="0" fontId="0" fillId="4" borderId="0" xfId="0" applyFill="1" applyProtection="1"/>
    <xf numFmtId="0" fontId="0" fillId="2" borderId="0" xfId="0" applyFill="1" applyProtection="1"/>
    <xf numFmtId="0" fontId="0" fillId="5" borderId="0" xfId="0" applyFill="1" applyProtection="1"/>
    <xf numFmtId="0" fontId="1" fillId="5" borderId="0" xfId="0" applyFont="1" applyFill="1" applyProtection="1"/>
    <xf numFmtId="0" fontId="3" fillId="5" borderId="0" xfId="0" applyFont="1" applyFill="1" applyProtection="1"/>
    <xf numFmtId="0" fontId="0" fillId="5" borderId="2" xfId="0" applyFill="1" applyBorder="1" applyProtection="1"/>
    <xf numFmtId="165" fontId="0" fillId="5" borderId="0" xfId="0" applyNumberFormat="1" applyFill="1" applyBorder="1" applyProtection="1"/>
    <xf numFmtId="10" fontId="0" fillId="5" borderId="0" xfId="0" applyNumberFormat="1" applyFill="1" applyBorder="1" applyProtection="1"/>
    <xf numFmtId="0" fontId="5" fillId="5" borderId="0" xfId="0" applyFont="1" applyFill="1" applyProtection="1"/>
    <xf numFmtId="0" fontId="1" fillId="5" borderId="2" xfId="0" applyFont="1" applyFill="1" applyBorder="1" applyProtection="1"/>
    <xf numFmtId="0" fontId="1" fillId="6" borderId="0" xfId="0" applyFont="1" applyFill="1" applyProtection="1"/>
    <xf numFmtId="164" fontId="1" fillId="6" borderId="3" xfId="0" applyNumberFormat="1" applyFont="1" applyFill="1" applyBorder="1" applyProtection="1"/>
    <xf numFmtId="0" fontId="8" fillId="6" borderId="0" xfId="0" applyFont="1" applyFill="1" applyProtection="1"/>
    <xf numFmtId="0" fontId="9" fillId="5" borderId="0" xfId="0" applyFont="1" applyFill="1" applyProtection="1"/>
    <xf numFmtId="0" fontId="1" fillId="5" borderId="0" xfId="0" applyFont="1" applyFill="1" applyBorder="1" applyAlignment="1" applyProtection="1">
      <alignment horizontal="center"/>
    </xf>
    <xf numFmtId="0" fontId="0" fillId="5" borderId="2" xfId="0" applyFill="1" applyBorder="1" applyAlignment="1" applyProtection="1">
      <alignment horizontal="center"/>
    </xf>
    <xf numFmtId="0" fontId="1" fillId="5" borderId="2" xfId="0" applyFont="1" applyFill="1" applyBorder="1" applyAlignment="1" applyProtection="1">
      <alignment horizontal="center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166" fontId="0" fillId="0" borderId="6" xfId="0" applyNumberFormat="1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66" fontId="0" fillId="0" borderId="7" xfId="0" applyNumberFormat="1" applyFill="1" applyBorder="1" applyAlignment="1" applyProtection="1">
      <alignment horizontal="center"/>
      <protection locked="0"/>
    </xf>
    <xf numFmtId="166" fontId="0" fillId="0" borderId="8" xfId="0" applyNumberFormat="1" applyFill="1" applyBorder="1" applyAlignment="1" applyProtection="1">
      <alignment horizontal="center"/>
      <protection locked="0"/>
    </xf>
    <xf numFmtId="166" fontId="0" fillId="0" borderId="5" xfId="0" applyNumberFormat="1" applyFill="1" applyBorder="1" applyAlignment="1" applyProtection="1">
      <alignment horizontal="center"/>
      <protection locked="0"/>
    </xf>
    <xf numFmtId="166" fontId="0" fillId="0" borderId="9" xfId="0" applyNumberFormat="1" applyFill="1" applyBorder="1" applyAlignment="1" applyProtection="1">
      <alignment horizontal="center"/>
      <protection locked="0"/>
    </xf>
    <xf numFmtId="0" fontId="10" fillId="5" borderId="0" xfId="0" applyFont="1" applyFill="1" applyProtection="1"/>
    <xf numFmtId="0" fontId="3" fillId="5" borderId="2" xfId="0" applyFont="1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7" fillId="5" borderId="0" xfId="0" applyFont="1" applyFill="1" applyProtection="1"/>
    <xf numFmtId="0" fontId="1" fillId="5" borderId="2" xfId="0" applyFont="1" applyFill="1" applyBorder="1" applyAlignment="1" applyProtection="1">
      <alignment horizontal="left"/>
    </xf>
    <xf numFmtId="166" fontId="6" fillId="5" borderId="1" xfId="0" applyNumberFormat="1" applyFont="1" applyFill="1" applyBorder="1" applyAlignment="1" applyProtection="1">
      <alignment horizontal="center"/>
    </xf>
    <xf numFmtId="0" fontId="6" fillId="5" borderId="3" xfId="0" applyFont="1" applyFill="1" applyBorder="1" applyAlignment="1" applyProtection="1">
      <alignment horizontal="center"/>
    </xf>
    <xf numFmtId="2" fontId="0" fillId="5" borderId="1" xfId="0" applyNumberFormat="1" applyFill="1" applyBorder="1" applyAlignment="1" applyProtection="1">
      <alignment horizontal="center"/>
    </xf>
    <xf numFmtId="166" fontId="0" fillId="5" borderId="1" xfId="0" applyNumberFormat="1" applyFill="1" applyBorder="1" applyAlignment="1" applyProtection="1">
      <alignment horizontal="center"/>
    </xf>
    <xf numFmtId="165" fontId="0" fillId="0" borderId="1" xfId="0" applyNumberFormat="1" applyFill="1" applyBorder="1" applyAlignment="1" applyProtection="1">
      <alignment horizontal="center"/>
      <protection locked="0"/>
    </xf>
    <xf numFmtId="0" fontId="0" fillId="5" borderId="0" xfId="0" applyFill="1"/>
    <xf numFmtId="0" fontId="1" fillId="5" borderId="0" xfId="0" applyFont="1" applyFill="1"/>
    <xf numFmtId="0" fontId="1" fillId="5" borderId="5" xfId="0" applyFont="1" applyFill="1" applyBorder="1" applyProtection="1"/>
    <xf numFmtId="0" fontId="0" fillId="5" borderId="5" xfId="0" applyFill="1" applyBorder="1" applyProtection="1"/>
    <xf numFmtId="0" fontId="5" fillId="5" borderId="5" xfId="0" applyFont="1" applyFill="1" applyBorder="1" applyProtection="1"/>
    <xf numFmtId="1" fontId="6" fillId="5" borderId="1" xfId="0" applyNumberFormat="1" applyFont="1" applyFill="1" applyBorder="1" applyProtection="1"/>
    <xf numFmtId="0" fontId="6" fillId="5" borderId="1" xfId="0" applyFont="1" applyFill="1" applyBorder="1" applyAlignment="1" applyProtection="1">
      <alignment horizontal="center"/>
    </xf>
    <xf numFmtId="166" fontId="6" fillId="5" borderId="3" xfId="0" applyNumberFormat="1" applyFont="1" applyFill="1" applyBorder="1" applyAlignment="1" applyProtection="1">
      <alignment horizontal="center"/>
    </xf>
    <xf numFmtId="165" fontId="6" fillId="5" borderId="1" xfId="0" applyNumberFormat="1" applyFont="1" applyFill="1" applyBorder="1" applyAlignment="1" applyProtection="1">
      <alignment horizontal="center"/>
    </xf>
    <xf numFmtId="0" fontId="7" fillId="5" borderId="2" xfId="0" applyFont="1" applyFill="1" applyBorder="1" applyProtection="1"/>
    <xf numFmtId="165" fontId="6" fillId="5" borderId="3" xfId="0" applyNumberFormat="1" applyFont="1" applyFill="1" applyBorder="1" applyAlignment="1" applyProtection="1">
      <alignment horizontal="center"/>
    </xf>
    <xf numFmtId="0" fontId="0" fillId="6" borderId="10" xfId="0" applyFill="1" applyBorder="1" applyProtection="1"/>
    <xf numFmtId="0" fontId="0" fillId="6" borderId="11" xfId="0" applyFill="1" applyBorder="1" applyProtection="1"/>
    <xf numFmtId="1" fontId="6" fillId="6" borderId="12" xfId="0" applyNumberFormat="1" applyFont="1" applyFill="1" applyBorder="1" applyProtection="1"/>
    <xf numFmtId="0" fontId="1" fillId="6" borderId="13" xfId="0" applyFont="1" applyFill="1" applyBorder="1" applyProtection="1"/>
    <xf numFmtId="0" fontId="0" fillId="6" borderId="0" xfId="0" applyFill="1" applyBorder="1" applyProtection="1"/>
    <xf numFmtId="1" fontId="6" fillId="6" borderId="14" xfId="0" applyNumberFormat="1" applyFont="1" applyFill="1" applyBorder="1" applyProtection="1"/>
    <xf numFmtId="0" fontId="0" fillId="6" borderId="15" xfId="0" applyFill="1" applyBorder="1" applyProtection="1"/>
    <xf numFmtId="0" fontId="0" fillId="6" borderId="2" xfId="0" applyFill="1" applyBorder="1" applyProtection="1"/>
    <xf numFmtId="1" fontId="6" fillId="6" borderId="16" xfId="0" applyNumberFormat="1" applyFont="1" applyFill="1" applyBorder="1" applyProtection="1"/>
    <xf numFmtId="1" fontId="6" fillId="5" borderId="1" xfId="0" applyNumberFormat="1" applyFont="1" applyFill="1" applyBorder="1" applyAlignment="1" applyProtection="1">
      <alignment horizontal="center"/>
    </xf>
    <xf numFmtId="2" fontId="6" fillId="5" borderId="1" xfId="0" applyNumberFormat="1" applyFont="1" applyFill="1" applyBorder="1" applyAlignment="1" applyProtection="1">
      <alignment horizontal="center"/>
    </xf>
    <xf numFmtId="0" fontId="11" fillId="5" borderId="0" xfId="0" applyFont="1" applyFill="1" applyProtection="1"/>
    <xf numFmtId="164" fontId="11" fillId="5" borderId="0" xfId="0" applyNumberFormat="1" applyFont="1" applyFill="1"/>
    <xf numFmtId="0" fontId="11" fillId="5" borderId="0" xfId="0" applyFont="1" applyFill="1"/>
    <xf numFmtId="164" fontId="0" fillId="0" borderId="1" xfId="0" applyNumberFormat="1" applyFill="1" applyBorder="1" applyAlignment="1" applyProtection="1">
      <alignment horizontal="center"/>
      <protection locked="0"/>
    </xf>
    <xf numFmtId="0" fontId="0" fillId="0" borderId="4" xfId="0" applyFill="1" applyBorder="1" applyProtection="1">
      <protection locked="0"/>
    </xf>
    <xf numFmtId="0" fontId="3" fillId="4" borderId="0" xfId="0" applyFont="1" applyFill="1" applyProtection="1"/>
    <xf numFmtId="0" fontId="7" fillId="2" borderId="0" xfId="0" applyFont="1" applyFill="1" applyProtection="1"/>
    <xf numFmtId="0" fontId="4" fillId="2" borderId="0" xfId="0" applyFont="1" applyFill="1" applyProtection="1"/>
    <xf numFmtId="0" fontId="13" fillId="2" borderId="0" xfId="0" applyFont="1" applyFill="1" applyProtection="1"/>
    <xf numFmtId="1" fontId="13" fillId="2" borderId="0" xfId="0" applyNumberFormat="1" applyFont="1" applyFill="1" applyProtection="1"/>
    <xf numFmtId="0" fontId="0" fillId="5" borderId="5" xfId="0" applyFill="1" applyBorder="1"/>
    <xf numFmtId="0" fontId="1" fillId="5" borderId="5" xfId="0" applyFont="1" applyFill="1" applyBorder="1"/>
    <xf numFmtId="164" fontId="6" fillId="5" borderId="3" xfId="0" applyNumberFormat="1" applyFont="1" applyFill="1" applyBorder="1" applyProtection="1"/>
    <xf numFmtId="164" fontId="6" fillId="5" borderId="1" xfId="0" applyNumberFormat="1" applyFont="1" applyFill="1" applyBorder="1" applyProtection="1"/>
    <xf numFmtId="164" fontId="6" fillId="5" borderId="1" xfId="0" applyNumberFormat="1" applyFont="1" applyFill="1" applyBorder="1"/>
    <xf numFmtId="164" fontId="6" fillId="5" borderId="3" xfId="0" applyNumberFormat="1" applyFont="1" applyFill="1" applyBorder="1"/>
    <xf numFmtId="0" fontId="0" fillId="5" borderId="2" xfId="0" applyFill="1" applyBorder="1"/>
    <xf numFmtId="0" fontId="6" fillId="5" borderId="1" xfId="0" applyFont="1" applyFill="1" applyBorder="1"/>
    <xf numFmtId="164" fontId="11" fillId="5" borderId="0" xfId="0" applyNumberFormat="1" applyFont="1" applyFill="1" applyProtection="1"/>
    <xf numFmtId="0" fontId="1" fillId="6" borderId="0" xfId="0" applyFont="1" applyFill="1"/>
    <xf numFmtId="0" fontId="0" fillId="6" borderId="0" xfId="0" applyFill="1"/>
    <xf numFmtId="164" fontId="9" fillId="6" borderId="1" xfId="0" applyNumberFormat="1" applyFont="1" applyFill="1" applyBorder="1"/>
    <xf numFmtId="1" fontId="6" fillId="5" borderId="3" xfId="0" applyNumberFormat="1" applyFont="1" applyFill="1" applyBorder="1"/>
    <xf numFmtId="0" fontId="1" fillId="5" borderId="2" xfId="0" applyFont="1" applyFill="1" applyBorder="1"/>
    <xf numFmtId="0" fontId="0" fillId="2" borderId="2" xfId="0" applyFill="1" applyBorder="1" applyProtection="1"/>
    <xf numFmtId="0" fontId="0" fillId="5" borderId="0" xfId="0" applyFill="1" applyBorder="1" applyProtection="1"/>
    <xf numFmtId="0" fontId="1" fillId="5" borderId="0" xfId="0" applyFont="1" applyFill="1" applyBorder="1" applyProtection="1"/>
    <xf numFmtId="0" fontId="1" fillId="6" borderId="18" xfId="0" applyFont="1" applyFill="1" applyBorder="1" applyProtection="1"/>
    <xf numFmtId="0" fontId="6" fillId="6" borderId="19" xfId="0" applyFont="1" applyFill="1" applyBorder="1" applyAlignment="1" applyProtection="1">
      <alignment horizontal="left"/>
    </xf>
    <xf numFmtId="0" fontId="1" fillId="6" borderId="10" xfId="0" applyFont="1" applyFill="1" applyBorder="1" applyProtection="1"/>
    <xf numFmtId="0" fontId="1" fillId="6" borderId="15" xfId="0" applyFont="1" applyFill="1" applyBorder="1" applyProtection="1"/>
    <xf numFmtId="0" fontId="1" fillId="6" borderId="11" xfId="0" applyFont="1" applyFill="1" applyBorder="1" applyAlignment="1" applyProtection="1">
      <alignment horizontal="right"/>
    </xf>
    <xf numFmtId="0" fontId="6" fillId="6" borderId="20" xfId="0" applyFont="1" applyFill="1" applyBorder="1" applyProtection="1"/>
    <xf numFmtId="0" fontId="1" fillId="6" borderId="11" xfId="0" applyFont="1" applyFill="1" applyBorder="1" applyAlignment="1" applyProtection="1">
      <alignment horizontal="center"/>
    </xf>
    <xf numFmtId="0" fontId="6" fillId="6" borderId="12" xfId="0" applyFont="1" applyFill="1" applyBorder="1" applyProtection="1"/>
    <xf numFmtId="0" fontId="1" fillId="6" borderId="2" xfId="0" applyFont="1" applyFill="1" applyBorder="1" applyAlignment="1" applyProtection="1">
      <alignment horizontal="right"/>
    </xf>
    <xf numFmtId="0" fontId="6" fillId="6" borderId="4" xfId="0" applyFont="1" applyFill="1" applyBorder="1" applyProtection="1"/>
    <xf numFmtId="0" fontId="1" fillId="6" borderId="2" xfId="0" applyFont="1" applyFill="1" applyBorder="1" applyAlignment="1" applyProtection="1">
      <alignment horizontal="center"/>
    </xf>
    <xf numFmtId="0" fontId="6" fillId="6" borderId="16" xfId="0" applyFont="1" applyFill="1" applyBorder="1" applyProtection="1"/>
    <xf numFmtId="167" fontId="0" fillId="0" borderId="3" xfId="0" applyNumberFormat="1" applyFill="1" applyBorder="1" applyAlignment="1" applyProtection="1">
      <alignment horizontal="center"/>
      <protection locked="0"/>
    </xf>
    <xf numFmtId="0" fontId="3" fillId="5" borderId="2" xfId="0" applyFont="1" applyFill="1" applyBorder="1" applyProtection="1"/>
    <xf numFmtId="10" fontId="0" fillId="5" borderId="3" xfId="0" applyNumberFormat="1" applyFill="1" applyBorder="1" applyAlignment="1" applyProtection="1">
      <alignment horizontal="center"/>
    </xf>
    <xf numFmtId="10" fontId="0" fillId="0" borderId="3" xfId="0" applyNumberFormat="1" applyFill="1" applyBorder="1" applyAlignment="1" applyProtection="1">
      <alignment horizontal="center"/>
      <protection locked="0"/>
    </xf>
    <xf numFmtId="10" fontId="0" fillId="5" borderId="1" xfId="0" applyNumberFormat="1" applyFill="1" applyBorder="1" applyAlignment="1" applyProtection="1">
      <alignment horizontal="center"/>
    </xf>
    <xf numFmtId="10" fontId="0" fillId="0" borderId="1" xfId="0" applyNumberFormat="1" applyFill="1" applyBorder="1" applyAlignment="1" applyProtection="1">
      <alignment horizontal="center"/>
      <protection locked="0"/>
    </xf>
    <xf numFmtId="0" fontId="16" fillId="3" borderId="21" xfId="0" applyFont="1" applyFill="1" applyBorder="1" applyProtection="1"/>
    <xf numFmtId="0" fontId="16" fillId="3" borderId="17" xfId="0" applyFont="1" applyFill="1" applyBorder="1" applyProtection="1"/>
    <xf numFmtId="0" fontId="16" fillId="3" borderId="22" xfId="0" applyFont="1" applyFill="1" applyBorder="1" applyProtection="1"/>
    <xf numFmtId="0" fontId="17" fillId="3" borderId="17" xfId="0" applyFont="1" applyFill="1" applyBorder="1" applyProtection="1"/>
    <xf numFmtId="0" fontId="14" fillId="7" borderId="21" xfId="0" applyFont="1" applyFill="1" applyBorder="1" applyProtection="1"/>
    <xf numFmtId="0" fontId="15" fillId="7" borderId="17" xfId="0" applyFont="1" applyFill="1" applyBorder="1" applyProtection="1"/>
    <xf numFmtId="0" fontId="14" fillId="7" borderId="17" xfId="0" applyFont="1" applyFill="1" applyBorder="1" applyProtection="1"/>
    <xf numFmtId="0" fontId="14" fillId="7" borderId="22" xfId="0" applyFont="1" applyFill="1" applyBorder="1" applyProtection="1"/>
    <xf numFmtId="0" fontId="18" fillId="4" borderId="0" xfId="0" applyFont="1" applyFill="1" applyProtection="1"/>
    <xf numFmtId="0" fontId="14" fillId="7" borderId="5" xfId="0" applyFont="1" applyFill="1" applyBorder="1" applyProtection="1"/>
    <xf numFmtId="10" fontId="11" fillId="5" borderId="5" xfId="0" applyNumberFormat="1" applyFont="1" applyFill="1" applyBorder="1" applyAlignment="1" applyProtection="1">
      <alignment horizontal="center"/>
    </xf>
    <xf numFmtId="0" fontId="21" fillId="5" borderId="2" xfId="0" applyFont="1" applyFill="1" applyBorder="1" applyProtection="1"/>
    <xf numFmtId="1" fontId="6" fillId="5" borderId="1" xfId="0" applyNumberFormat="1" applyFont="1" applyFill="1" applyBorder="1"/>
    <xf numFmtId="0" fontId="9" fillId="6" borderId="0" xfId="0" applyFont="1" applyFill="1"/>
    <xf numFmtId="0" fontId="4" fillId="6" borderId="0" xfId="0" applyFont="1" applyFill="1"/>
    <xf numFmtId="2" fontId="9" fillId="6" borderId="1" xfId="0" applyNumberFormat="1" applyFont="1" applyFill="1" applyBorder="1"/>
    <xf numFmtId="0" fontId="22" fillId="6" borderId="0" xfId="0" applyFont="1" applyFill="1"/>
    <xf numFmtId="1" fontId="23" fillId="5" borderId="0" xfId="0" applyNumberFormat="1" applyFont="1" applyFill="1" applyProtection="1"/>
    <xf numFmtId="0" fontId="23" fillId="5" borderId="0" xfId="0" applyFont="1" applyFill="1" applyProtection="1"/>
    <xf numFmtId="0" fontId="24" fillId="5" borderId="0" xfId="0" applyFont="1" applyFill="1" applyProtection="1"/>
    <xf numFmtId="0" fontId="6" fillId="2" borderId="0" xfId="0" applyFont="1" applyFill="1" applyProtection="1"/>
    <xf numFmtId="0" fontId="0" fillId="6" borderId="0" xfId="0" applyFill="1" applyProtection="1"/>
    <xf numFmtId="0" fontId="1" fillId="6" borderId="17" xfId="0" applyFont="1" applyFill="1" applyBorder="1" applyProtection="1"/>
    <xf numFmtId="0" fontId="1" fillId="6" borderId="22" xfId="0" applyFont="1" applyFill="1" applyBorder="1" applyProtection="1"/>
    <xf numFmtId="165" fontId="9" fillId="6" borderId="1" xfId="0" applyNumberFormat="1" applyFont="1" applyFill="1" applyBorder="1" applyProtection="1"/>
    <xf numFmtId="14" fontId="25" fillId="4" borderId="0" xfId="0" applyNumberFormat="1" applyFont="1" applyFill="1" applyProtection="1"/>
    <xf numFmtId="0" fontId="12" fillId="4" borderId="5" xfId="0" applyFont="1" applyFill="1" applyBorder="1" applyAlignment="1" applyProtection="1">
      <protection locked="0"/>
    </xf>
    <xf numFmtId="0" fontId="2" fillId="4" borderId="0" xfId="0" applyFont="1" applyFill="1" applyAlignment="1" applyProtection="1"/>
    <xf numFmtId="0" fontId="12" fillId="4" borderId="17" xfId="0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2673840769903771"/>
          <c:y val="5.1400554097404488E-2"/>
          <c:w val="0.81167125984251964"/>
          <c:h val="0.79822506561679785"/>
        </c:manualLayout>
      </c:layout>
      <c:scatterChart>
        <c:scatterStyle val="smoothMarker"/>
        <c:ser>
          <c:idx val="0"/>
          <c:order val="0"/>
          <c:tx>
            <c:strRef>
              <c:f>'Pig Spaces'!$W$3</c:f>
              <c:strCache>
                <c:ptCount val="1"/>
                <c:pt idx="0">
                  <c:v>Nursery Spaces</c:v>
                </c:pt>
              </c:strCache>
            </c:strRef>
          </c:tx>
          <c:xVal>
            <c:numRef>
              <c:f>'Pig Spaces'!$V$4:$V$55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'Pig Spaces'!$W$4:$W$55</c:f>
              <c:numCache>
                <c:formatCode>General</c:formatCode>
                <c:ptCount val="52"/>
                <c:pt idx="0">
                  <c:v>6000</c:v>
                </c:pt>
                <c:pt idx="1">
                  <c:v>5800</c:v>
                </c:pt>
                <c:pt idx="2">
                  <c:v>5600</c:v>
                </c:pt>
                <c:pt idx="3">
                  <c:v>5400</c:v>
                </c:pt>
                <c:pt idx="4">
                  <c:v>5400</c:v>
                </c:pt>
                <c:pt idx="5">
                  <c:v>4500</c:v>
                </c:pt>
                <c:pt idx="6">
                  <c:v>4500</c:v>
                </c:pt>
                <c:pt idx="7">
                  <c:v>4500</c:v>
                </c:pt>
                <c:pt idx="8">
                  <c:v>4500</c:v>
                </c:pt>
                <c:pt idx="9">
                  <c:v>4500</c:v>
                </c:pt>
                <c:pt idx="10">
                  <c:v>4500</c:v>
                </c:pt>
                <c:pt idx="11">
                  <c:v>4700</c:v>
                </c:pt>
                <c:pt idx="12">
                  <c:v>4900</c:v>
                </c:pt>
                <c:pt idx="13">
                  <c:v>5100</c:v>
                </c:pt>
                <c:pt idx="14">
                  <c:v>5300</c:v>
                </c:pt>
                <c:pt idx="15">
                  <c:v>5500</c:v>
                </c:pt>
                <c:pt idx="16">
                  <c:v>5500</c:v>
                </c:pt>
                <c:pt idx="17">
                  <c:v>5500</c:v>
                </c:pt>
                <c:pt idx="18">
                  <c:v>5500</c:v>
                </c:pt>
                <c:pt idx="19">
                  <c:v>5500</c:v>
                </c:pt>
                <c:pt idx="20">
                  <c:v>5600</c:v>
                </c:pt>
                <c:pt idx="21">
                  <c:v>5700</c:v>
                </c:pt>
                <c:pt idx="22">
                  <c:v>5800</c:v>
                </c:pt>
                <c:pt idx="23">
                  <c:v>5900</c:v>
                </c:pt>
                <c:pt idx="24">
                  <c:v>6000</c:v>
                </c:pt>
                <c:pt idx="25">
                  <c:v>6000</c:v>
                </c:pt>
                <c:pt idx="26">
                  <c:v>6000</c:v>
                </c:pt>
                <c:pt idx="27">
                  <c:v>6000</c:v>
                </c:pt>
                <c:pt idx="28">
                  <c:v>6000</c:v>
                </c:pt>
                <c:pt idx="29">
                  <c:v>6000</c:v>
                </c:pt>
                <c:pt idx="30">
                  <c:v>6000</c:v>
                </c:pt>
                <c:pt idx="31">
                  <c:v>6000</c:v>
                </c:pt>
                <c:pt idx="32">
                  <c:v>6000</c:v>
                </c:pt>
                <c:pt idx="33">
                  <c:v>6000</c:v>
                </c:pt>
                <c:pt idx="34">
                  <c:v>6000</c:v>
                </c:pt>
                <c:pt idx="35">
                  <c:v>6000</c:v>
                </c:pt>
                <c:pt idx="36">
                  <c:v>5900</c:v>
                </c:pt>
                <c:pt idx="37">
                  <c:v>5800</c:v>
                </c:pt>
                <c:pt idx="38">
                  <c:v>5700</c:v>
                </c:pt>
                <c:pt idx="39">
                  <c:v>5600</c:v>
                </c:pt>
                <c:pt idx="40">
                  <c:v>5500</c:v>
                </c:pt>
                <c:pt idx="41">
                  <c:v>5500</c:v>
                </c:pt>
                <c:pt idx="42">
                  <c:v>5500</c:v>
                </c:pt>
                <c:pt idx="43">
                  <c:v>5500</c:v>
                </c:pt>
                <c:pt idx="44">
                  <c:v>5500</c:v>
                </c:pt>
                <c:pt idx="45">
                  <c:v>5500</c:v>
                </c:pt>
                <c:pt idx="46">
                  <c:v>5500</c:v>
                </c:pt>
                <c:pt idx="47">
                  <c:v>5500</c:v>
                </c:pt>
                <c:pt idx="48">
                  <c:v>5500</c:v>
                </c:pt>
                <c:pt idx="49">
                  <c:v>5500</c:v>
                </c:pt>
                <c:pt idx="50">
                  <c:v>5300</c:v>
                </c:pt>
                <c:pt idx="51">
                  <c:v>5100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'Pig Spaces'!$X$3</c:f>
              <c:strCache>
                <c:ptCount val="1"/>
                <c:pt idx="0">
                  <c:v>Finisher Spaces</c:v>
                </c:pt>
              </c:strCache>
            </c:strRef>
          </c:tx>
          <c:xVal>
            <c:numRef>
              <c:f>'Pig Spaces'!$V$4:$V$55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'Pig Spaces'!$X$4:$X$55</c:f>
              <c:numCache>
                <c:formatCode>General</c:formatCode>
                <c:ptCount val="52"/>
                <c:pt idx="0">
                  <c:v>21888</c:v>
                </c:pt>
                <c:pt idx="1">
                  <c:v>21736</c:v>
                </c:pt>
                <c:pt idx="2">
                  <c:v>21584</c:v>
                </c:pt>
                <c:pt idx="3">
                  <c:v>21432</c:v>
                </c:pt>
                <c:pt idx="4">
                  <c:v>21108</c:v>
                </c:pt>
                <c:pt idx="5">
                  <c:v>20784</c:v>
                </c:pt>
                <c:pt idx="6">
                  <c:v>20460</c:v>
                </c:pt>
                <c:pt idx="7">
                  <c:v>20136</c:v>
                </c:pt>
                <c:pt idx="8">
                  <c:v>19812</c:v>
                </c:pt>
                <c:pt idx="9">
                  <c:v>19488</c:v>
                </c:pt>
                <c:pt idx="10">
                  <c:v>19260</c:v>
                </c:pt>
                <c:pt idx="11">
                  <c:v>19059</c:v>
                </c:pt>
                <c:pt idx="12">
                  <c:v>18858</c:v>
                </c:pt>
                <c:pt idx="13">
                  <c:v>18657</c:v>
                </c:pt>
                <c:pt idx="14">
                  <c:v>18456</c:v>
                </c:pt>
                <c:pt idx="15">
                  <c:v>18255</c:v>
                </c:pt>
                <c:pt idx="16">
                  <c:v>18054</c:v>
                </c:pt>
                <c:pt idx="17">
                  <c:v>18043</c:v>
                </c:pt>
                <c:pt idx="18">
                  <c:v>18076</c:v>
                </c:pt>
                <c:pt idx="19">
                  <c:v>18109</c:v>
                </c:pt>
                <c:pt idx="20">
                  <c:v>18164</c:v>
                </c:pt>
                <c:pt idx="21">
                  <c:v>18219</c:v>
                </c:pt>
                <c:pt idx="22">
                  <c:v>18274</c:v>
                </c:pt>
                <c:pt idx="23">
                  <c:v>18329</c:v>
                </c:pt>
                <c:pt idx="24">
                  <c:v>18568</c:v>
                </c:pt>
                <c:pt idx="25">
                  <c:v>18807</c:v>
                </c:pt>
                <c:pt idx="26">
                  <c:v>19143</c:v>
                </c:pt>
                <c:pt idx="27">
                  <c:v>19479</c:v>
                </c:pt>
                <c:pt idx="28">
                  <c:v>19815</c:v>
                </c:pt>
                <c:pt idx="29">
                  <c:v>20151</c:v>
                </c:pt>
                <c:pt idx="30">
                  <c:v>20487</c:v>
                </c:pt>
                <c:pt idx="31">
                  <c:v>20796</c:v>
                </c:pt>
                <c:pt idx="32">
                  <c:v>21105</c:v>
                </c:pt>
                <c:pt idx="33">
                  <c:v>21414</c:v>
                </c:pt>
                <c:pt idx="34">
                  <c:v>21723</c:v>
                </c:pt>
                <c:pt idx="35">
                  <c:v>22032</c:v>
                </c:pt>
                <c:pt idx="36">
                  <c:v>22329</c:v>
                </c:pt>
                <c:pt idx="37">
                  <c:v>22436</c:v>
                </c:pt>
                <c:pt idx="38">
                  <c:v>22543</c:v>
                </c:pt>
                <c:pt idx="39">
                  <c:v>22650</c:v>
                </c:pt>
                <c:pt idx="40">
                  <c:v>22735</c:v>
                </c:pt>
                <c:pt idx="41">
                  <c:v>22820</c:v>
                </c:pt>
                <c:pt idx="42">
                  <c:v>22809</c:v>
                </c:pt>
                <c:pt idx="43">
                  <c:v>22798</c:v>
                </c:pt>
                <c:pt idx="44">
                  <c:v>22787</c:v>
                </c:pt>
                <c:pt idx="45">
                  <c:v>22776</c:v>
                </c:pt>
                <c:pt idx="46">
                  <c:v>22668</c:v>
                </c:pt>
                <c:pt idx="47">
                  <c:v>22560</c:v>
                </c:pt>
                <c:pt idx="48">
                  <c:v>22452</c:v>
                </c:pt>
                <c:pt idx="49">
                  <c:v>22344</c:v>
                </c:pt>
                <c:pt idx="50">
                  <c:v>22192</c:v>
                </c:pt>
                <c:pt idx="51">
                  <c:v>22040</c:v>
                </c:pt>
              </c:numCache>
            </c:numRef>
          </c:yVal>
          <c:smooth val="1"/>
        </c:ser>
        <c:axId val="101603584"/>
        <c:axId val="70160384"/>
      </c:scatterChart>
      <c:valAx>
        <c:axId val="101603584"/>
        <c:scaling>
          <c:orientation val="minMax"/>
        </c:scaling>
        <c:axPos val="b"/>
        <c:numFmt formatCode="0" sourceLinked="1"/>
        <c:tickLblPos val="nextTo"/>
        <c:crossAx val="70160384"/>
        <c:crosses val="autoZero"/>
        <c:crossBetween val="midCat"/>
      </c:valAx>
      <c:valAx>
        <c:axId val="70160384"/>
        <c:scaling>
          <c:orientation val="minMax"/>
        </c:scaling>
        <c:axPos val="l"/>
        <c:majorGridlines/>
        <c:numFmt formatCode="General" sourceLinked="1"/>
        <c:tickLblPos val="nextTo"/>
        <c:crossAx val="10160358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39415266841644875"/>
          <c:y val="0.37461614173228414"/>
          <c:w val="0.25584733158355205"/>
          <c:h val="0.16743438320210019"/>
        </c:manualLayout>
      </c:layout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1265507436570428"/>
          <c:y val="5.1400554097404488E-2"/>
          <c:w val="0.83104636920384967"/>
          <c:h val="0.79822506561679785"/>
        </c:manualLayout>
      </c:layout>
      <c:scatterChart>
        <c:scatterStyle val="smoothMarker"/>
        <c:ser>
          <c:idx val="0"/>
          <c:order val="0"/>
          <c:tx>
            <c:strRef>
              <c:f>'Pig Spaces'!$S$3</c:f>
              <c:strCache>
                <c:ptCount val="1"/>
                <c:pt idx="0">
                  <c:v>pigs to nursery</c:v>
                </c:pt>
              </c:strCache>
            </c:strRef>
          </c:tx>
          <c:xVal>
            <c:numRef>
              <c:f>'Pig Spaces'!$R$4:$R$55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'Pig Spaces'!$S$4:$S$55</c:f>
              <c:numCache>
                <c:formatCode>General</c:formatCode>
                <c:ptCount val="52"/>
                <c:pt idx="0">
                  <c:v>900</c:v>
                </c:pt>
                <c:pt idx="1">
                  <c:v>900</c:v>
                </c:pt>
                <c:pt idx="2">
                  <c:v>900</c:v>
                </c:pt>
                <c:pt idx="3">
                  <c:v>900</c:v>
                </c:pt>
                <c:pt idx="4">
                  <c:v>900</c:v>
                </c:pt>
                <c:pt idx="5">
                  <c:v>900</c:v>
                </c:pt>
                <c:pt idx="6">
                  <c:v>900</c:v>
                </c:pt>
                <c:pt idx="7">
                  <c:v>900</c:v>
                </c:pt>
                <c:pt idx="8">
                  <c:v>900</c:v>
                </c:pt>
                <c:pt idx="9">
                  <c:v>900</c:v>
                </c:pt>
                <c:pt idx="10">
                  <c:v>900</c:v>
                </c:pt>
                <c:pt idx="11">
                  <c:v>1100</c:v>
                </c:pt>
                <c:pt idx="12">
                  <c:v>1100</c:v>
                </c:pt>
                <c:pt idx="13">
                  <c:v>1100</c:v>
                </c:pt>
                <c:pt idx="14">
                  <c:v>1100</c:v>
                </c:pt>
                <c:pt idx="15">
                  <c:v>1100</c:v>
                </c:pt>
                <c:pt idx="16">
                  <c:v>1100</c:v>
                </c:pt>
                <c:pt idx="17">
                  <c:v>1100</c:v>
                </c:pt>
                <c:pt idx="18">
                  <c:v>1100</c:v>
                </c:pt>
                <c:pt idx="19">
                  <c:v>1100</c:v>
                </c:pt>
                <c:pt idx="20">
                  <c:v>1200</c:v>
                </c:pt>
                <c:pt idx="21">
                  <c:v>1200</c:v>
                </c:pt>
                <c:pt idx="22">
                  <c:v>1200</c:v>
                </c:pt>
                <c:pt idx="23">
                  <c:v>1200</c:v>
                </c:pt>
                <c:pt idx="24">
                  <c:v>1200</c:v>
                </c:pt>
                <c:pt idx="25">
                  <c:v>1200</c:v>
                </c:pt>
                <c:pt idx="26">
                  <c:v>1200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1200</c:v>
                </c:pt>
                <c:pt idx="34">
                  <c:v>1200</c:v>
                </c:pt>
                <c:pt idx="35">
                  <c:v>1200</c:v>
                </c:pt>
                <c:pt idx="36">
                  <c:v>1100</c:v>
                </c:pt>
                <c:pt idx="37">
                  <c:v>1100</c:v>
                </c:pt>
                <c:pt idx="38">
                  <c:v>1100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1100</c:v>
                </c:pt>
                <c:pt idx="43">
                  <c:v>1100</c:v>
                </c:pt>
                <c:pt idx="44">
                  <c:v>1100</c:v>
                </c:pt>
                <c:pt idx="45">
                  <c:v>1100</c:v>
                </c:pt>
                <c:pt idx="46">
                  <c:v>1100</c:v>
                </c:pt>
                <c:pt idx="47">
                  <c:v>1100</c:v>
                </c:pt>
                <c:pt idx="48">
                  <c:v>1100</c:v>
                </c:pt>
                <c:pt idx="49">
                  <c:v>1100</c:v>
                </c:pt>
                <c:pt idx="50">
                  <c:v>900</c:v>
                </c:pt>
                <c:pt idx="51">
                  <c:v>900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'Pig Spaces'!$T$3</c:f>
              <c:strCache>
                <c:ptCount val="1"/>
                <c:pt idx="0">
                  <c:v>pigs to finisher</c:v>
                </c:pt>
              </c:strCache>
            </c:strRef>
          </c:tx>
          <c:xVal>
            <c:numRef>
              <c:f>'Pig Spaces'!$R$4:$R$55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'Pig Spaces'!$T$4:$T$55</c:f>
              <c:numCache>
                <c:formatCode>General</c:formatCode>
                <c:ptCount val="52"/>
                <c:pt idx="0">
                  <c:v>1012</c:v>
                </c:pt>
                <c:pt idx="1">
                  <c:v>1012</c:v>
                </c:pt>
                <c:pt idx="2">
                  <c:v>1012</c:v>
                </c:pt>
                <c:pt idx="3">
                  <c:v>1012</c:v>
                </c:pt>
                <c:pt idx="4">
                  <c:v>828</c:v>
                </c:pt>
                <c:pt idx="5">
                  <c:v>828</c:v>
                </c:pt>
                <c:pt idx="6">
                  <c:v>828</c:v>
                </c:pt>
                <c:pt idx="7">
                  <c:v>828</c:v>
                </c:pt>
                <c:pt idx="8">
                  <c:v>828</c:v>
                </c:pt>
                <c:pt idx="9">
                  <c:v>828</c:v>
                </c:pt>
                <c:pt idx="10">
                  <c:v>828</c:v>
                </c:pt>
                <c:pt idx="11">
                  <c:v>855</c:v>
                </c:pt>
                <c:pt idx="12">
                  <c:v>855</c:v>
                </c:pt>
                <c:pt idx="13">
                  <c:v>855</c:v>
                </c:pt>
                <c:pt idx="14">
                  <c:v>855</c:v>
                </c:pt>
                <c:pt idx="15">
                  <c:v>855</c:v>
                </c:pt>
                <c:pt idx="16">
                  <c:v>855</c:v>
                </c:pt>
                <c:pt idx="17">
                  <c:v>1045</c:v>
                </c:pt>
                <c:pt idx="18">
                  <c:v>1045</c:v>
                </c:pt>
                <c:pt idx="19">
                  <c:v>1045</c:v>
                </c:pt>
                <c:pt idx="20">
                  <c:v>1067</c:v>
                </c:pt>
                <c:pt idx="21">
                  <c:v>1067</c:v>
                </c:pt>
                <c:pt idx="22">
                  <c:v>1067</c:v>
                </c:pt>
                <c:pt idx="23">
                  <c:v>1067</c:v>
                </c:pt>
                <c:pt idx="24">
                  <c:v>1067</c:v>
                </c:pt>
                <c:pt idx="25">
                  <c:v>1067</c:v>
                </c:pt>
                <c:pt idx="26">
                  <c:v>1164</c:v>
                </c:pt>
                <c:pt idx="27">
                  <c:v>1164</c:v>
                </c:pt>
                <c:pt idx="28">
                  <c:v>1164</c:v>
                </c:pt>
                <c:pt idx="29">
                  <c:v>1164</c:v>
                </c:pt>
                <c:pt idx="30">
                  <c:v>1164</c:v>
                </c:pt>
                <c:pt idx="31">
                  <c:v>1164</c:v>
                </c:pt>
                <c:pt idx="32">
                  <c:v>1164</c:v>
                </c:pt>
                <c:pt idx="33">
                  <c:v>1164</c:v>
                </c:pt>
                <c:pt idx="34">
                  <c:v>1164</c:v>
                </c:pt>
                <c:pt idx="35">
                  <c:v>1164</c:v>
                </c:pt>
                <c:pt idx="36">
                  <c:v>1152</c:v>
                </c:pt>
                <c:pt idx="37">
                  <c:v>1152</c:v>
                </c:pt>
                <c:pt idx="38">
                  <c:v>1152</c:v>
                </c:pt>
                <c:pt idx="39">
                  <c:v>1152</c:v>
                </c:pt>
                <c:pt idx="40">
                  <c:v>1152</c:v>
                </c:pt>
                <c:pt idx="41">
                  <c:v>1152</c:v>
                </c:pt>
                <c:pt idx="42">
                  <c:v>1056</c:v>
                </c:pt>
                <c:pt idx="43">
                  <c:v>1056</c:v>
                </c:pt>
                <c:pt idx="44">
                  <c:v>1056</c:v>
                </c:pt>
                <c:pt idx="45">
                  <c:v>1056</c:v>
                </c:pt>
                <c:pt idx="46">
                  <c:v>1056</c:v>
                </c:pt>
                <c:pt idx="47">
                  <c:v>1056</c:v>
                </c:pt>
                <c:pt idx="48">
                  <c:v>1056</c:v>
                </c:pt>
                <c:pt idx="49">
                  <c:v>1056</c:v>
                </c:pt>
                <c:pt idx="50">
                  <c:v>1012</c:v>
                </c:pt>
                <c:pt idx="51">
                  <c:v>1012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'Pig Spaces'!$U$3</c:f>
              <c:strCache>
                <c:ptCount val="1"/>
                <c:pt idx="0">
                  <c:v>pigs to market</c:v>
                </c:pt>
              </c:strCache>
            </c:strRef>
          </c:tx>
          <c:xVal>
            <c:numRef>
              <c:f>'Pig Spaces'!$R$4:$R$55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'Pig Spaces'!$U$4:$U$55</c:f>
              <c:numCache>
                <c:formatCode>0</c:formatCode>
                <c:ptCount val="52"/>
                <c:pt idx="0">
                  <c:v>981.64</c:v>
                </c:pt>
                <c:pt idx="1">
                  <c:v>981.64</c:v>
                </c:pt>
                <c:pt idx="2">
                  <c:v>1070.8800000000001</c:v>
                </c:pt>
                <c:pt idx="3">
                  <c:v>1070.8800000000001</c:v>
                </c:pt>
                <c:pt idx="4">
                  <c:v>1070.8800000000001</c:v>
                </c:pt>
                <c:pt idx="5">
                  <c:v>1070.8800000000001</c:v>
                </c:pt>
                <c:pt idx="6">
                  <c:v>1070.8800000000001</c:v>
                </c:pt>
                <c:pt idx="7">
                  <c:v>1070.8800000000001</c:v>
                </c:pt>
                <c:pt idx="8">
                  <c:v>1070.8800000000001</c:v>
                </c:pt>
                <c:pt idx="9">
                  <c:v>1070.8800000000001</c:v>
                </c:pt>
                <c:pt idx="10">
                  <c:v>1070.8800000000001</c:v>
                </c:pt>
                <c:pt idx="11">
                  <c:v>1070.8800000000001</c:v>
                </c:pt>
                <c:pt idx="12">
                  <c:v>1094.3999999999999</c:v>
                </c:pt>
                <c:pt idx="13">
                  <c:v>1094.3999999999999</c:v>
                </c:pt>
                <c:pt idx="14">
                  <c:v>1094.3999999999999</c:v>
                </c:pt>
                <c:pt idx="15">
                  <c:v>1094.3999999999999</c:v>
                </c:pt>
                <c:pt idx="16">
                  <c:v>1094.3999999999999</c:v>
                </c:pt>
                <c:pt idx="17">
                  <c:v>1094.3999999999999</c:v>
                </c:pt>
                <c:pt idx="18">
                  <c:v>1003.1999999999999</c:v>
                </c:pt>
                <c:pt idx="19">
                  <c:v>1003.1999999999999</c:v>
                </c:pt>
                <c:pt idx="20">
                  <c:v>1003.1999999999999</c:v>
                </c:pt>
                <c:pt idx="21">
                  <c:v>1003.1999999999999</c:v>
                </c:pt>
                <c:pt idx="22">
                  <c:v>1003.1999999999999</c:v>
                </c:pt>
                <c:pt idx="23">
                  <c:v>1003.1999999999999</c:v>
                </c:pt>
                <c:pt idx="24">
                  <c:v>1024.32</c:v>
                </c:pt>
                <c:pt idx="25">
                  <c:v>1024.32</c:v>
                </c:pt>
                <c:pt idx="26">
                  <c:v>981.64</c:v>
                </c:pt>
                <c:pt idx="27">
                  <c:v>981.64</c:v>
                </c:pt>
                <c:pt idx="28">
                  <c:v>981.64</c:v>
                </c:pt>
                <c:pt idx="29">
                  <c:v>981.64</c:v>
                </c:pt>
                <c:pt idx="30">
                  <c:v>981.64</c:v>
                </c:pt>
                <c:pt idx="31">
                  <c:v>981.64</c:v>
                </c:pt>
                <c:pt idx="32">
                  <c:v>803.16</c:v>
                </c:pt>
                <c:pt idx="33">
                  <c:v>803.16</c:v>
                </c:pt>
                <c:pt idx="34">
                  <c:v>803.16</c:v>
                </c:pt>
                <c:pt idx="35">
                  <c:v>803.16</c:v>
                </c:pt>
                <c:pt idx="36">
                  <c:v>803.16</c:v>
                </c:pt>
                <c:pt idx="37">
                  <c:v>794.88</c:v>
                </c:pt>
                <c:pt idx="38">
                  <c:v>794.88</c:v>
                </c:pt>
                <c:pt idx="39">
                  <c:v>820.8</c:v>
                </c:pt>
                <c:pt idx="40">
                  <c:v>820.8</c:v>
                </c:pt>
                <c:pt idx="41">
                  <c:v>820.8</c:v>
                </c:pt>
                <c:pt idx="42">
                  <c:v>820.8</c:v>
                </c:pt>
                <c:pt idx="43">
                  <c:v>820.8</c:v>
                </c:pt>
                <c:pt idx="44">
                  <c:v>820.8</c:v>
                </c:pt>
                <c:pt idx="45">
                  <c:v>1003.1999999999999</c:v>
                </c:pt>
                <c:pt idx="46">
                  <c:v>1003.1999999999999</c:v>
                </c:pt>
                <c:pt idx="47">
                  <c:v>1003.1999999999999</c:v>
                </c:pt>
                <c:pt idx="48">
                  <c:v>1024.32</c:v>
                </c:pt>
                <c:pt idx="49">
                  <c:v>1024.32</c:v>
                </c:pt>
                <c:pt idx="50">
                  <c:v>981.64</c:v>
                </c:pt>
                <c:pt idx="51">
                  <c:v>981.64</c:v>
                </c:pt>
              </c:numCache>
            </c:numRef>
          </c:yVal>
          <c:smooth val="1"/>
        </c:ser>
        <c:axId val="70362624"/>
        <c:axId val="70364160"/>
      </c:scatterChart>
      <c:valAx>
        <c:axId val="70362624"/>
        <c:scaling>
          <c:orientation val="minMax"/>
        </c:scaling>
        <c:axPos val="b"/>
        <c:numFmt formatCode="General" sourceLinked="1"/>
        <c:tickLblPos val="nextTo"/>
        <c:crossAx val="70364160"/>
        <c:crosses val="autoZero"/>
        <c:crossBetween val="midCat"/>
      </c:valAx>
      <c:valAx>
        <c:axId val="70364160"/>
        <c:scaling>
          <c:orientation val="minMax"/>
        </c:scaling>
        <c:axPos val="l"/>
        <c:majorGridlines/>
        <c:numFmt formatCode="General" sourceLinked="1"/>
        <c:tickLblPos val="nextTo"/>
        <c:crossAx val="7036262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35500000000000032"/>
          <c:y val="0.4855351414406533"/>
          <c:w val="0.21173708920187811"/>
          <c:h val="0.25115157480314959"/>
        </c:manualLayout>
      </c:layout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35</xdr:row>
      <xdr:rowOff>266700</xdr:rowOff>
    </xdr:from>
    <xdr:to>
      <xdr:col>7</xdr:col>
      <xdr:colOff>409575</xdr:colOff>
      <xdr:row>46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485774</xdr:colOff>
      <xdr:row>45</xdr:row>
      <xdr:rowOff>171450</xdr:rowOff>
    </xdr:from>
    <xdr:to>
      <xdr:col>7</xdr:col>
      <xdr:colOff>314324</xdr:colOff>
      <xdr:row>46</xdr:row>
      <xdr:rowOff>228600</xdr:rowOff>
    </xdr:to>
    <xdr:sp macro="" textlink="">
      <xdr:nvSpPr>
        <xdr:cNvPr id="4" name="TextBox 3"/>
        <xdr:cNvSpPr txBox="1"/>
      </xdr:nvSpPr>
      <xdr:spPr>
        <a:xfrm>
          <a:off x="781049" y="12315825"/>
          <a:ext cx="4657725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Jan.            Mar.             May             July               Sept            Nov.  	</a:t>
          </a:r>
        </a:p>
      </xdr:txBody>
    </xdr:sp>
    <xdr:clientData/>
  </xdr:twoCellAnchor>
  <xdr:twoCellAnchor>
    <xdr:from>
      <xdr:col>0</xdr:col>
      <xdr:colOff>257174</xdr:colOff>
      <xdr:row>35</xdr:row>
      <xdr:rowOff>19050</xdr:rowOff>
    </xdr:from>
    <xdr:to>
      <xdr:col>7</xdr:col>
      <xdr:colOff>257175</xdr:colOff>
      <xdr:row>35</xdr:row>
      <xdr:rowOff>247650</xdr:rowOff>
    </xdr:to>
    <xdr:sp macro="" textlink="">
      <xdr:nvSpPr>
        <xdr:cNvPr id="5" name="TextBox 4"/>
        <xdr:cNvSpPr txBox="1"/>
      </xdr:nvSpPr>
      <xdr:spPr>
        <a:xfrm>
          <a:off x="257174" y="9315450"/>
          <a:ext cx="5124451" cy="22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/>
            <a:t>Pig Spaces Required - Yearly Projection</a:t>
          </a:r>
        </a:p>
      </xdr:txBody>
    </xdr:sp>
    <xdr:clientData/>
  </xdr:twoCellAnchor>
  <xdr:twoCellAnchor>
    <xdr:from>
      <xdr:col>0</xdr:col>
      <xdr:colOff>133350</xdr:colOff>
      <xdr:row>45</xdr:row>
      <xdr:rowOff>38100</xdr:rowOff>
    </xdr:from>
    <xdr:to>
      <xdr:col>1</xdr:col>
      <xdr:colOff>447675</xdr:colOff>
      <xdr:row>46</xdr:row>
      <xdr:rowOff>57150</xdr:rowOff>
    </xdr:to>
    <xdr:sp macro="" textlink="">
      <xdr:nvSpPr>
        <xdr:cNvPr id="6" name="TextBox 5"/>
        <xdr:cNvSpPr txBox="1"/>
      </xdr:nvSpPr>
      <xdr:spPr>
        <a:xfrm>
          <a:off x="133350" y="12087225"/>
          <a:ext cx="60960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Week </a:t>
          </a:r>
        </a:p>
      </xdr:txBody>
    </xdr:sp>
    <xdr:clientData/>
  </xdr:twoCellAnchor>
  <xdr:twoCellAnchor>
    <xdr:from>
      <xdr:col>7</xdr:col>
      <xdr:colOff>514350</xdr:colOff>
      <xdr:row>35</xdr:row>
      <xdr:rowOff>266700</xdr:rowOff>
    </xdr:from>
    <xdr:to>
      <xdr:col>14</xdr:col>
      <xdr:colOff>514350</xdr:colOff>
      <xdr:row>46</xdr:row>
      <xdr:rowOff>85725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628650</xdr:colOff>
      <xdr:row>35</xdr:row>
      <xdr:rowOff>28575</xdr:rowOff>
    </xdr:from>
    <xdr:to>
      <xdr:col>14</xdr:col>
      <xdr:colOff>342901</xdr:colOff>
      <xdr:row>35</xdr:row>
      <xdr:rowOff>257175</xdr:rowOff>
    </xdr:to>
    <xdr:sp macro="" textlink="">
      <xdr:nvSpPr>
        <xdr:cNvPr id="8" name="TextBox 7"/>
        <xdr:cNvSpPr txBox="1"/>
      </xdr:nvSpPr>
      <xdr:spPr>
        <a:xfrm>
          <a:off x="5753100" y="9324975"/>
          <a:ext cx="5124451" cy="22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/>
            <a:t>Pig Movement - Yearly Projection</a:t>
          </a:r>
        </a:p>
      </xdr:txBody>
    </xdr:sp>
    <xdr:clientData/>
  </xdr:twoCellAnchor>
  <xdr:twoCellAnchor>
    <xdr:from>
      <xdr:col>7</xdr:col>
      <xdr:colOff>523875</xdr:colOff>
      <xdr:row>45</xdr:row>
      <xdr:rowOff>28575</xdr:rowOff>
    </xdr:from>
    <xdr:to>
      <xdr:col>8</xdr:col>
      <xdr:colOff>247650</xdr:colOff>
      <xdr:row>46</xdr:row>
      <xdr:rowOff>47625</xdr:rowOff>
    </xdr:to>
    <xdr:sp macro="" textlink="">
      <xdr:nvSpPr>
        <xdr:cNvPr id="9" name="TextBox 8"/>
        <xdr:cNvSpPr txBox="1"/>
      </xdr:nvSpPr>
      <xdr:spPr>
        <a:xfrm>
          <a:off x="5648325" y="12077700"/>
          <a:ext cx="52387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Week </a:t>
          </a:r>
        </a:p>
      </xdr:txBody>
    </xdr:sp>
    <xdr:clientData/>
  </xdr:twoCellAnchor>
  <xdr:twoCellAnchor>
    <xdr:from>
      <xdr:col>8</xdr:col>
      <xdr:colOff>295274</xdr:colOff>
      <xdr:row>45</xdr:row>
      <xdr:rowOff>180975</xdr:rowOff>
    </xdr:from>
    <xdr:to>
      <xdr:col>14</xdr:col>
      <xdr:colOff>342899</xdr:colOff>
      <xdr:row>46</xdr:row>
      <xdr:rowOff>238125</xdr:rowOff>
    </xdr:to>
    <xdr:sp macro="" textlink="">
      <xdr:nvSpPr>
        <xdr:cNvPr id="10" name="TextBox 9"/>
        <xdr:cNvSpPr txBox="1"/>
      </xdr:nvSpPr>
      <xdr:spPr>
        <a:xfrm>
          <a:off x="6219824" y="12325350"/>
          <a:ext cx="4657725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Jan.             Mar.            May               July                Sept              Nov.  	</a:t>
          </a:r>
        </a:p>
      </xdr:txBody>
    </xdr:sp>
    <xdr:clientData/>
  </xdr:twoCellAnchor>
  <xdr:twoCellAnchor>
    <xdr:from>
      <xdr:col>15</xdr:col>
      <xdr:colOff>352425</xdr:colOff>
      <xdr:row>2</xdr:row>
      <xdr:rowOff>9525</xdr:rowOff>
    </xdr:from>
    <xdr:to>
      <xdr:col>17</xdr:col>
      <xdr:colOff>600075</xdr:colOff>
      <xdr:row>8</xdr:row>
      <xdr:rowOff>180975</xdr:rowOff>
    </xdr:to>
    <xdr:sp macro="" textlink="">
      <xdr:nvSpPr>
        <xdr:cNvPr id="11" name="TextBox 10"/>
        <xdr:cNvSpPr txBox="1"/>
      </xdr:nvSpPr>
      <xdr:spPr>
        <a:xfrm>
          <a:off x="11582400" y="390525"/>
          <a:ext cx="1533525" cy="1390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Garland Dahlke </a:t>
          </a:r>
        </a:p>
        <a:p>
          <a:r>
            <a:rPr lang="en-US" sz="1100"/>
            <a:t>garland@iastate.edu</a:t>
          </a:r>
        </a:p>
        <a:p>
          <a:endParaRPr lang="en-US" sz="1100"/>
        </a:p>
        <a:p>
          <a:r>
            <a:rPr lang="en-US" sz="1100"/>
            <a:t>Ken Stalder</a:t>
          </a:r>
        </a:p>
        <a:p>
          <a:r>
            <a:rPr lang="en-US" sz="1100"/>
            <a:t>stalder@iastate.edu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73"/>
  <sheetViews>
    <sheetView showRowColHeaders="0" tabSelected="1" zoomScaleNormal="100" workbookViewId="0">
      <selection activeCell="E10" sqref="E10"/>
    </sheetView>
  </sheetViews>
  <sheetFormatPr defaultRowHeight="15"/>
  <cols>
    <col min="1" max="1" width="4.42578125" style="3" customWidth="1"/>
    <col min="2" max="2" width="13.7109375" style="3" customWidth="1"/>
    <col min="3" max="3" width="10.7109375" style="3" customWidth="1"/>
    <col min="4" max="13" width="12" style="3" customWidth="1"/>
    <col min="14" max="14" width="9.140625" style="67"/>
    <col min="15" max="15" width="10.42578125" style="67" customWidth="1"/>
    <col min="16" max="16" width="10.140625" style="67" bestFit="1" customWidth="1"/>
    <col min="17" max="20" width="9.140625" style="67"/>
    <col min="21" max="22" width="9.140625" style="68"/>
    <col min="23" max="16384" width="9.140625" style="3"/>
  </cols>
  <sheetData>
    <row r="1" spans="1:52">
      <c r="A1" s="2"/>
      <c r="B1" s="114" t="s">
        <v>120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31">
        <f ca="1">TODAY()</f>
        <v>43374</v>
      </c>
    </row>
    <row r="2" spans="1:52">
      <c r="A2" s="2"/>
      <c r="B2" s="2"/>
      <c r="C2" s="2"/>
      <c r="D2" s="2"/>
      <c r="E2" s="2"/>
      <c r="F2" s="2"/>
      <c r="G2" s="2"/>
      <c r="H2" s="2"/>
      <c r="I2" s="2"/>
      <c r="J2" s="2"/>
      <c r="K2" s="66" t="s">
        <v>95</v>
      </c>
      <c r="L2" s="132"/>
      <c r="M2" s="132"/>
      <c r="N2" s="132"/>
      <c r="O2" s="2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126"/>
      <c r="AW2" s="69"/>
      <c r="AX2" s="69"/>
      <c r="AY2" s="69"/>
      <c r="AZ2" s="69"/>
    </row>
    <row r="3" spans="1:52">
      <c r="A3" s="2"/>
      <c r="B3" s="133" t="s">
        <v>13</v>
      </c>
      <c r="C3" s="133"/>
      <c r="D3" s="133"/>
      <c r="E3" s="133"/>
      <c r="F3" s="133"/>
      <c r="G3" s="133"/>
      <c r="H3" s="133"/>
      <c r="I3" s="2"/>
      <c r="J3" s="2"/>
      <c r="K3" s="66"/>
      <c r="L3" s="134"/>
      <c r="M3" s="134"/>
      <c r="N3" s="134"/>
      <c r="O3" s="2"/>
      <c r="P3" s="69"/>
      <c r="Q3" s="69"/>
      <c r="R3" s="69" t="s">
        <v>51</v>
      </c>
      <c r="S3" s="69" t="s">
        <v>45</v>
      </c>
      <c r="T3" s="69" t="s">
        <v>46</v>
      </c>
      <c r="U3" s="70" t="s">
        <v>73</v>
      </c>
      <c r="V3" s="70" t="s">
        <v>51</v>
      </c>
      <c r="W3" s="69" t="s">
        <v>52</v>
      </c>
      <c r="X3" s="69" t="s">
        <v>49</v>
      </c>
      <c r="Y3" s="69"/>
      <c r="Z3" s="69"/>
      <c r="AA3" s="69" t="s">
        <v>98</v>
      </c>
      <c r="AB3" s="69"/>
      <c r="AC3" s="69"/>
      <c r="AD3" s="69"/>
      <c r="AE3" s="69"/>
      <c r="AF3" s="69"/>
      <c r="AG3" s="69"/>
      <c r="AH3" s="69" t="s">
        <v>99</v>
      </c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126"/>
      <c r="AW3" s="69"/>
      <c r="AX3" s="69"/>
      <c r="AY3" s="69"/>
      <c r="AZ3" s="69"/>
    </row>
    <row r="4" spans="1:52">
      <c r="A4" s="2"/>
      <c r="B4" s="133"/>
      <c r="C4" s="133"/>
      <c r="D4" s="133"/>
      <c r="E4" s="133"/>
      <c r="F4" s="133"/>
      <c r="G4" s="133"/>
      <c r="H4" s="133"/>
      <c r="I4" s="2"/>
      <c r="J4" s="2"/>
      <c r="K4" s="66" t="s">
        <v>96</v>
      </c>
      <c r="L4" s="134"/>
      <c r="M4" s="134"/>
      <c r="N4" s="134"/>
      <c r="O4" s="2"/>
      <c r="P4" s="69"/>
      <c r="Q4" s="69" t="s">
        <v>14</v>
      </c>
      <c r="R4" s="69">
        <v>1</v>
      </c>
      <c r="S4" s="69">
        <f>E10*G13</f>
        <v>900</v>
      </c>
      <c r="T4" s="69">
        <f>(1-$G$14)*S50</f>
        <v>1012</v>
      </c>
      <c r="U4" s="70">
        <f>(1-$G$14)*T28</f>
        <v>981.64</v>
      </c>
      <c r="V4" s="70">
        <f>1</f>
        <v>1</v>
      </c>
      <c r="W4" s="69">
        <f>SUM(S51:S55)+S4+SUM(AA4:AF4)</f>
        <v>6000</v>
      </c>
      <c r="X4" s="69">
        <f>T4+SUM(T44:T55)+(SUM(AH4:AU4))</f>
        <v>21888</v>
      </c>
      <c r="Y4" s="69"/>
      <c r="Z4" s="69"/>
      <c r="AA4" s="69">
        <f t="shared" ref="AA4:AA9" si="0">IF($L$14-$L$13&gt;6,S50,0)</f>
        <v>0</v>
      </c>
      <c r="AB4" s="69">
        <f t="shared" ref="AB4:AB10" si="1">IF($L$14-$L$13&gt;7,S49,0)</f>
        <v>0</v>
      </c>
      <c r="AC4" s="69">
        <f t="shared" ref="AC4:AC11" si="2">IF($L$14-$L$13&gt;8,S48,0)</f>
        <v>0</v>
      </c>
      <c r="AD4" s="69">
        <f t="shared" ref="AD4:AD12" si="3">IF($L$14-$L$13&gt;9,S47,0)</f>
        <v>0</v>
      </c>
      <c r="AE4" s="69">
        <f t="shared" ref="AE4:AE13" si="4">IF($L$14-$L$13&gt;10,S46,0)</f>
        <v>0</v>
      </c>
      <c r="AF4" s="69">
        <f t="shared" ref="AF4:AF14" si="5">IF($L$14-$L$13&gt;11,S45,0)</f>
        <v>0</v>
      </c>
      <c r="AG4" s="69"/>
      <c r="AH4" s="69">
        <f t="shared" ref="AH4:AH16" si="6">IF($L$15-$L$14&gt;12,$T43,0)</f>
        <v>1152</v>
      </c>
      <c r="AI4" s="69">
        <f t="shared" ref="AI4:AI17" si="7">IF($L$15-$L$14&gt;13,$T42,0)</f>
        <v>1152</v>
      </c>
      <c r="AJ4" s="69">
        <f t="shared" ref="AJ4:AJ18" si="8">IF($L$15-$L$14&gt;14,$T41,0)</f>
        <v>1152</v>
      </c>
      <c r="AK4" s="69">
        <f t="shared" ref="AK4:AK19" si="9">IF($L$15-$L$14&gt;15,$T40,0)</f>
        <v>1152</v>
      </c>
      <c r="AL4" s="69">
        <f t="shared" ref="AL4:AL20" si="10">IF($L$15-$L$14&gt;16,$T39,0)</f>
        <v>1164</v>
      </c>
      <c r="AM4" s="69">
        <f t="shared" ref="AM4:AM21" si="11">IF($L$15-$L$14&gt;17,$T38,0)</f>
        <v>1164</v>
      </c>
      <c r="AN4" s="69">
        <f t="shared" ref="AN4:AN22" si="12">IF($L$15-$L$14&gt;18,$T37,0)</f>
        <v>1164</v>
      </c>
      <c r="AO4" s="69">
        <f t="shared" ref="AO4:AO23" si="13">IF($L$15-$L$14&gt;19,$T36,0)</f>
        <v>0</v>
      </c>
      <c r="AP4" s="69">
        <f t="shared" ref="AP4:AP24" si="14">IF($L$15-$L$14&gt;20,$T35,0)</f>
        <v>0</v>
      </c>
      <c r="AQ4" s="69">
        <f t="shared" ref="AQ4:AQ25" si="15">IF($L$15-$L$14&gt;21,$T34,0)</f>
        <v>0</v>
      </c>
      <c r="AR4" s="69">
        <f t="shared" ref="AR4:AR26" si="16">IF($L$15-$L$14&gt;22,$T33,0)</f>
        <v>0</v>
      </c>
      <c r="AS4" s="69">
        <f t="shared" ref="AS4:AS27" si="17">IF($L$15-$L$14&gt;23,$T32,0)</f>
        <v>0</v>
      </c>
      <c r="AT4" s="69">
        <f t="shared" ref="AT4:AT28" si="18">IF($L$15-$L$14&gt;24,$T31,0)</f>
        <v>0</v>
      </c>
      <c r="AU4" s="69">
        <f t="shared" ref="AU4:AU29" si="19">IF($L$15-$L$14&gt;25,$T30,0)</f>
        <v>0</v>
      </c>
      <c r="AV4" s="69" t="s">
        <v>131</v>
      </c>
      <c r="AW4" s="69"/>
      <c r="AX4" s="69"/>
      <c r="AY4" s="69"/>
      <c r="AZ4" s="69"/>
    </row>
    <row r="5" spans="1:52">
      <c r="A5" s="2"/>
      <c r="B5" s="133"/>
      <c r="C5" s="133"/>
      <c r="D5" s="133"/>
      <c r="E5" s="133"/>
      <c r="F5" s="133"/>
      <c r="G5" s="133"/>
      <c r="H5" s="133"/>
      <c r="I5" s="2"/>
      <c r="J5" s="2"/>
      <c r="K5" s="2"/>
      <c r="L5" s="134"/>
      <c r="M5" s="134"/>
      <c r="N5" s="134"/>
      <c r="O5" s="2"/>
      <c r="P5" s="69"/>
      <c r="Q5" s="69" t="s">
        <v>14</v>
      </c>
      <c r="R5" s="69">
        <f>1+R4</f>
        <v>2</v>
      </c>
      <c r="S5" s="69">
        <f>S4</f>
        <v>900</v>
      </c>
      <c r="T5" s="69">
        <f t="shared" ref="T5:T9" si="20">(1-$G$14)*S51</f>
        <v>1012</v>
      </c>
      <c r="U5" s="70">
        <f t="shared" ref="U5:U15" si="21">(1-$G$14)*T29</f>
        <v>981.64</v>
      </c>
      <c r="V5" s="70">
        <f>1+V4</f>
        <v>2</v>
      </c>
      <c r="W5" s="69">
        <f>SUM(S52:S56)+SUM(S$4:S5)+SUM(AA5:AF5)</f>
        <v>5800</v>
      </c>
      <c r="X5" s="69">
        <f>SUM($T$4:T5)+SUM(T45:T56)+(SUM(AH5:AU5))</f>
        <v>21736</v>
      </c>
      <c r="Y5" s="69"/>
      <c r="Z5" s="69"/>
      <c r="AA5" s="69">
        <f t="shared" si="0"/>
        <v>0</v>
      </c>
      <c r="AB5" s="69">
        <f t="shared" si="1"/>
        <v>0</v>
      </c>
      <c r="AC5" s="69">
        <f t="shared" si="2"/>
        <v>0</v>
      </c>
      <c r="AD5" s="69">
        <f t="shared" si="3"/>
        <v>0</v>
      </c>
      <c r="AE5" s="69">
        <f t="shared" si="4"/>
        <v>0</v>
      </c>
      <c r="AF5" s="69">
        <f t="shared" si="5"/>
        <v>0</v>
      </c>
      <c r="AG5" s="69"/>
      <c r="AH5" s="69">
        <f t="shared" si="6"/>
        <v>1152</v>
      </c>
      <c r="AI5" s="69">
        <f t="shared" si="7"/>
        <v>1152</v>
      </c>
      <c r="AJ5" s="69">
        <f t="shared" si="8"/>
        <v>1152</v>
      </c>
      <c r="AK5" s="69">
        <f t="shared" si="9"/>
        <v>1152</v>
      </c>
      <c r="AL5" s="69">
        <f t="shared" si="10"/>
        <v>1152</v>
      </c>
      <c r="AM5" s="69">
        <f t="shared" si="11"/>
        <v>1164</v>
      </c>
      <c r="AN5" s="69">
        <f t="shared" si="12"/>
        <v>1164</v>
      </c>
      <c r="AO5" s="69">
        <f t="shared" si="13"/>
        <v>0</v>
      </c>
      <c r="AP5" s="69">
        <f t="shared" si="14"/>
        <v>0</v>
      </c>
      <c r="AQ5" s="69">
        <f t="shared" si="15"/>
        <v>0</v>
      </c>
      <c r="AR5" s="69">
        <f t="shared" si="16"/>
        <v>0</v>
      </c>
      <c r="AS5" s="69">
        <f t="shared" si="17"/>
        <v>0</v>
      </c>
      <c r="AT5" s="69">
        <f t="shared" si="18"/>
        <v>0</v>
      </c>
      <c r="AU5" s="69">
        <f t="shared" si="19"/>
        <v>0</v>
      </c>
      <c r="AV5" s="69" t="s">
        <v>131</v>
      </c>
      <c r="AW5" s="69"/>
      <c r="AX5" s="69"/>
      <c r="AY5" s="69"/>
      <c r="AZ5" s="69"/>
    </row>
    <row r="6" spans="1:5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134"/>
      <c r="M6" s="134"/>
      <c r="N6" s="134"/>
      <c r="O6" s="2"/>
      <c r="P6" s="69"/>
      <c r="Q6" s="69" t="s">
        <v>14</v>
      </c>
      <c r="R6" s="69">
        <f t="shared" ref="R6:R55" si="22">1+R5</f>
        <v>3</v>
      </c>
      <c r="S6" s="69">
        <f t="shared" ref="S6:S13" si="23">S5</f>
        <v>900</v>
      </c>
      <c r="T6" s="69">
        <f t="shared" si="20"/>
        <v>1012</v>
      </c>
      <c r="U6" s="70">
        <f t="shared" si="21"/>
        <v>1070.8800000000001</v>
      </c>
      <c r="V6" s="70">
        <f t="shared" ref="V6:V55" si="24">1+V5</f>
        <v>3</v>
      </c>
      <c r="W6" s="69">
        <f>SUM(S53:S57)+SUM(S$4:S6)+SUM(AA6:AF6)</f>
        <v>5600</v>
      </c>
      <c r="X6" s="69">
        <f>SUM($T$4:T6)+SUM(T46:T57)+(SUM(AH6:AU6))</f>
        <v>21584</v>
      </c>
      <c r="Y6" s="69"/>
      <c r="Z6" s="69"/>
      <c r="AA6" s="69">
        <f t="shared" si="0"/>
        <v>0</v>
      </c>
      <c r="AB6" s="69">
        <f t="shared" si="1"/>
        <v>0</v>
      </c>
      <c r="AC6" s="69">
        <f t="shared" si="2"/>
        <v>0</v>
      </c>
      <c r="AD6" s="69">
        <f t="shared" si="3"/>
        <v>0</v>
      </c>
      <c r="AE6" s="69">
        <f t="shared" si="4"/>
        <v>0</v>
      </c>
      <c r="AF6" s="69">
        <f t="shared" si="5"/>
        <v>0</v>
      </c>
      <c r="AG6" s="69"/>
      <c r="AH6" s="69">
        <f t="shared" si="6"/>
        <v>1152</v>
      </c>
      <c r="AI6" s="69">
        <f t="shared" si="7"/>
        <v>1152</v>
      </c>
      <c r="AJ6" s="69">
        <f t="shared" si="8"/>
        <v>1152</v>
      </c>
      <c r="AK6" s="69">
        <f t="shared" si="9"/>
        <v>1152</v>
      </c>
      <c r="AL6" s="69">
        <f t="shared" si="10"/>
        <v>1152</v>
      </c>
      <c r="AM6" s="69">
        <f t="shared" si="11"/>
        <v>1152</v>
      </c>
      <c r="AN6" s="69">
        <f t="shared" si="12"/>
        <v>1164</v>
      </c>
      <c r="AO6" s="69">
        <f t="shared" si="13"/>
        <v>0</v>
      </c>
      <c r="AP6" s="69">
        <f t="shared" si="14"/>
        <v>0</v>
      </c>
      <c r="AQ6" s="69">
        <f t="shared" si="15"/>
        <v>0</v>
      </c>
      <c r="AR6" s="69">
        <f t="shared" si="16"/>
        <v>0</v>
      </c>
      <c r="AS6" s="69">
        <f t="shared" si="17"/>
        <v>0</v>
      </c>
      <c r="AT6" s="69">
        <f t="shared" si="18"/>
        <v>0</v>
      </c>
      <c r="AU6" s="69">
        <f t="shared" si="19"/>
        <v>0</v>
      </c>
      <c r="AV6" s="69" t="s">
        <v>131</v>
      </c>
      <c r="AW6" s="69"/>
      <c r="AX6" s="69"/>
      <c r="AY6" s="69"/>
      <c r="AZ6" s="69"/>
    </row>
    <row r="7" spans="1:5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69"/>
      <c r="Q7" s="69" t="s">
        <v>14</v>
      </c>
      <c r="R7" s="69">
        <f t="shared" si="22"/>
        <v>4</v>
      </c>
      <c r="S7" s="69">
        <f t="shared" si="23"/>
        <v>900</v>
      </c>
      <c r="T7" s="69">
        <f t="shared" si="20"/>
        <v>1012</v>
      </c>
      <c r="U7" s="70">
        <f t="shared" si="21"/>
        <v>1070.8800000000001</v>
      </c>
      <c r="V7" s="70">
        <f t="shared" si="24"/>
        <v>4</v>
      </c>
      <c r="W7" s="69">
        <f>SUM(S54:S58)+SUM(S$4:S7)+SUM(AA7:AF7)</f>
        <v>5400</v>
      </c>
      <c r="X7" s="69">
        <f>SUM($T$4:T7)+SUM(T47:T58)+(SUM(AH7:AU7))</f>
        <v>21432</v>
      </c>
      <c r="Y7" s="69"/>
      <c r="Z7" s="69"/>
      <c r="AA7" s="69">
        <f t="shared" si="0"/>
        <v>0</v>
      </c>
      <c r="AB7" s="69">
        <f t="shared" si="1"/>
        <v>0</v>
      </c>
      <c r="AC7" s="69">
        <f t="shared" si="2"/>
        <v>0</v>
      </c>
      <c r="AD7" s="69">
        <f t="shared" si="3"/>
        <v>0</v>
      </c>
      <c r="AE7" s="69">
        <f t="shared" si="4"/>
        <v>0</v>
      </c>
      <c r="AF7" s="69">
        <f t="shared" si="5"/>
        <v>0</v>
      </c>
      <c r="AG7" s="69"/>
      <c r="AH7" s="69">
        <f t="shared" si="6"/>
        <v>1056</v>
      </c>
      <c r="AI7" s="69">
        <f t="shared" si="7"/>
        <v>1152</v>
      </c>
      <c r="AJ7" s="69">
        <f t="shared" si="8"/>
        <v>1152</v>
      </c>
      <c r="AK7" s="69">
        <f t="shared" si="9"/>
        <v>1152</v>
      </c>
      <c r="AL7" s="69">
        <f t="shared" si="10"/>
        <v>1152</v>
      </c>
      <c r="AM7" s="69">
        <f t="shared" si="11"/>
        <v>1152</v>
      </c>
      <c r="AN7" s="69">
        <f t="shared" si="12"/>
        <v>1152</v>
      </c>
      <c r="AO7" s="69">
        <f t="shared" si="13"/>
        <v>0</v>
      </c>
      <c r="AP7" s="69">
        <f t="shared" si="14"/>
        <v>0</v>
      </c>
      <c r="AQ7" s="69">
        <f t="shared" si="15"/>
        <v>0</v>
      </c>
      <c r="AR7" s="69">
        <f t="shared" si="16"/>
        <v>0</v>
      </c>
      <c r="AS7" s="69">
        <f t="shared" si="17"/>
        <v>0</v>
      </c>
      <c r="AT7" s="69">
        <f t="shared" si="18"/>
        <v>0</v>
      </c>
      <c r="AU7" s="69">
        <f t="shared" si="19"/>
        <v>0</v>
      </c>
      <c r="AV7" s="69" t="s">
        <v>132</v>
      </c>
      <c r="AW7" s="69"/>
      <c r="AX7" s="69"/>
      <c r="AY7" s="69"/>
      <c r="AZ7" s="69"/>
    </row>
    <row r="8" spans="1:52" ht="21">
      <c r="A8" s="106"/>
      <c r="B8" s="109" t="s">
        <v>118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8"/>
      <c r="P8" s="69"/>
      <c r="Q8" s="69" t="s">
        <v>14</v>
      </c>
      <c r="R8" s="69">
        <f t="shared" si="22"/>
        <v>5</v>
      </c>
      <c r="S8" s="69">
        <f t="shared" si="23"/>
        <v>900</v>
      </c>
      <c r="T8" s="69">
        <f t="shared" si="20"/>
        <v>828</v>
      </c>
      <c r="U8" s="70">
        <f t="shared" si="21"/>
        <v>1070.8800000000001</v>
      </c>
      <c r="V8" s="70">
        <f t="shared" si="24"/>
        <v>5</v>
      </c>
      <c r="W8" s="69">
        <f>SUM(S55:S59)+SUM(S4:S8)+SUM(AA8:AF8)</f>
        <v>5400</v>
      </c>
      <c r="X8" s="69">
        <f>SUM($T$4:T8)+SUM(T48:T59)+(SUM(AH8:AU8))</f>
        <v>21108</v>
      </c>
      <c r="Y8" s="69"/>
      <c r="Z8" s="69"/>
      <c r="AA8" s="69">
        <f t="shared" si="0"/>
        <v>0</v>
      </c>
      <c r="AB8" s="69">
        <f t="shared" si="1"/>
        <v>0</v>
      </c>
      <c r="AC8" s="69">
        <f t="shared" si="2"/>
        <v>0</v>
      </c>
      <c r="AD8" s="69">
        <f t="shared" si="3"/>
        <v>0</v>
      </c>
      <c r="AE8" s="69">
        <f t="shared" si="4"/>
        <v>0</v>
      </c>
      <c r="AF8" s="69">
        <f t="shared" si="5"/>
        <v>0</v>
      </c>
      <c r="AG8" s="69"/>
      <c r="AH8" s="69">
        <f t="shared" si="6"/>
        <v>1056</v>
      </c>
      <c r="AI8" s="69">
        <f t="shared" si="7"/>
        <v>1056</v>
      </c>
      <c r="AJ8" s="69">
        <f t="shared" si="8"/>
        <v>1152</v>
      </c>
      <c r="AK8" s="69">
        <f t="shared" si="9"/>
        <v>1152</v>
      </c>
      <c r="AL8" s="69">
        <f t="shared" si="10"/>
        <v>1152</v>
      </c>
      <c r="AM8" s="69">
        <f t="shared" si="11"/>
        <v>1152</v>
      </c>
      <c r="AN8" s="69">
        <f t="shared" si="12"/>
        <v>1152</v>
      </c>
      <c r="AO8" s="69">
        <f t="shared" si="13"/>
        <v>0</v>
      </c>
      <c r="AP8" s="69">
        <f t="shared" si="14"/>
        <v>0</v>
      </c>
      <c r="AQ8" s="69">
        <f t="shared" si="15"/>
        <v>0</v>
      </c>
      <c r="AR8" s="69">
        <f t="shared" si="16"/>
        <v>0</v>
      </c>
      <c r="AS8" s="69">
        <f t="shared" si="17"/>
        <v>0</v>
      </c>
      <c r="AT8" s="69">
        <f t="shared" si="18"/>
        <v>0</v>
      </c>
      <c r="AU8" s="69">
        <f t="shared" si="19"/>
        <v>0</v>
      </c>
      <c r="AV8" s="69" t="s">
        <v>133</v>
      </c>
      <c r="AW8" s="69"/>
      <c r="AX8" s="69"/>
      <c r="AY8" s="69"/>
      <c r="AZ8" s="69"/>
    </row>
    <row r="9" spans="1:5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32"/>
      <c r="P9" s="69"/>
      <c r="Q9" s="69" t="s">
        <v>15</v>
      </c>
      <c r="R9" s="69">
        <f t="shared" si="22"/>
        <v>6</v>
      </c>
      <c r="S9" s="69">
        <f t="shared" si="23"/>
        <v>900</v>
      </c>
      <c r="T9" s="69">
        <f t="shared" si="20"/>
        <v>828</v>
      </c>
      <c r="U9" s="70">
        <f t="shared" si="21"/>
        <v>1070.8800000000001</v>
      </c>
      <c r="V9" s="70">
        <f t="shared" si="24"/>
        <v>6</v>
      </c>
      <c r="W9" s="69">
        <f>SUM(S5:S9)+SUM(AA9:AF9)</f>
        <v>4500</v>
      </c>
      <c r="X9" s="69">
        <f>SUM($T$4:T9)+SUM(T49:T60)+(SUM(AH9:AU9))</f>
        <v>20784</v>
      </c>
      <c r="Y9" s="69"/>
      <c r="Z9" s="69"/>
      <c r="AA9" s="69">
        <f t="shared" si="0"/>
        <v>0</v>
      </c>
      <c r="AB9" s="69">
        <f t="shared" si="1"/>
        <v>0</v>
      </c>
      <c r="AC9" s="69">
        <f t="shared" si="2"/>
        <v>0</v>
      </c>
      <c r="AD9" s="69">
        <f t="shared" si="3"/>
        <v>0</v>
      </c>
      <c r="AE9" s="69">
        <f t="shared" si="4"/>
        <v>0</v>
      </c>
      <c r="AF9" s="69">
        <f t="shared" si="5"/>
        <v>0</v>
      </c>
      <c r="AG9" s="69"/>
      <c r="AH9" s="69">
        <f t="shared" si="6"/>
        <v>1056</v>
      </c>
      <c r="AI9" s="69">
        <f t="shared" si="7"/>
        <v>1056</v>
      </c>
      <c r="AJ9" s="69">
        <f t="shared" si="8"/>
        <v>1056</v>
      </c>
      <c r="AK9" s="69">
        <f t="shared" si="9"/>
        <v>1152</v>
      </c>
      <c r="AL9" s="69">
        <f t="shared" si="10"/>
        <v>1152</v>
      </c>
      <c r="AM9" s="69">
        <f t="shared" si="11"/>
        <v>1152</v>
      </c>
      <c r="AN9" s="69">
        <f t="shared" si="12"/>
        <v>1152</v>
      </c>
      <c r="AO9" s="69">
        <f t="shared" si="13"/>
        <v>0</v>
      </c>
      <c r="AP9" s="69">
        <f t="shared" si="14"/>
        <v>0</v>
      </c>
      <c r="AQ9" s="69">
        <f t="shared" si="15"/>
        <v>0</v>
      </c>
      <c r="AR9" s="69">
        <f t="shared" si="16"/>
        <v>0</v>
      </c>
      <c r="AS9" s="69">
        <f t="shared" si="17"/>
        <v>0</v>
      </c>
      <c r="AT9" s="69">
        <f t="shared" si="18"/>
        <v>0</v>
      </c>
      <c r="AU9" s="69">
        <f t="shared" si="19"/>
        <v>0</v>
      </c>
      <c r="AV9" s="69" t="s">
        <v>133</v>
      </c>
      <c r="AW9" s="69"/>
      <c r="AX9" s="69"/>
      <c r="AY9" s="69"/>
      <c r="AZ9" s="69"/>
    </row>
    <row r="10" spans="1:52" ht="20.100000000000001" customHeight="1">
      <c r="A10" s="4"/>
      <c r="B10" s="15" t="s">
        <v>1</v>
      </c>
      <c r="C10" s="4"/>
      <c r="D10" s="4"/>
      <c r="E10" s="1">
        <v>100</v>
      </c>
      <c r="F10" s="4"/>
      <c r="G10" s="123">
        <f>(E10*52)/E11</f>
        <v>2260.8695652173915</v>
      </c>
      <c r="H10" s="124" t="s">
        <v>130</v>
      </c>
      <c r="I10" s="4"/>
      <c r="J10" s="4"/>
      <c r="K10" s="4"/>
      <c r="L10" s="4"/>
      <c r="M10" s="4"/>
      <c r="N10" s="32"/>
      <c r="O10" s="32"/>
      <c r="P10" s="69"/>
      <c r="Q10" s="69" t="s">
        <v>15</v>
      </c>
      <c r="R10" s="69">
        <f t="shared" si="22"/>
        <v>7</v>
      </c>
      <c r="S10" s="69">
        <f t="shared" si="23"/>
        <v>900</v>
      </c>
      <c r="T10" s="69">
        <f>(1-$G$14)*S4</f>
        <v>828</v>
      </c>
      <c r="U10" s="70">
        <f t="shared" si="21"/>
        <v>1070.8800000000001</v>
      </c>
      <c r="V10" s="70">
        <f t="shared" si="24"/>
        <v>7</v>
      </c>
      <c r="W10" s="69">
        <f t="shared" ref="W10:W55" si="25">SUM(S6:S10)+SUM(AA10:AF10)</f>
        <v>4500</v>
      </c>
      <c r="X10" s="69">
        <f>SUM($T$4:T10)+SUM(T50:T61)+(SUM(AH10:AU10))</f>
        <v>20460</v>
      </c>
      <c r="Y10" s="69"/>
      <c r="Z10" s="69"/>
      <c r="AA10" s="69">
        <f t="shared" ref="AA10:AA55" si="26">IF($L$14-$L$13&gt;6,S4,0)</f>
        <v>0</v>
      </c>
      <c r="AB10" s="69">
        <f t="shared" si="1"/>
        <v>0</v>
      </c>
      <c r="AC10" s="69">
        <f t="shared" si="2"/>
        <v>0</v>
      </c>
      <c r="AD10" s="69">
        <f t="shared" si="3"/>
        <v>0</v>
      </c>
      <c r="AE10" s="69">
        <f t="shared" si="4"/>
        <v>0</v>
      </c>
      <c r="AF10" s="69">
        <f t="shared" si="5"/>
        <v>0</v>
      </c>
      <c r="AG10" s="69"/>
      <c r="AH10" s="69">
        <f t="shared" si="6"/>
        <v>1056</v>
      </c>
      <c r="AI10" s="69">
        <f t="shared" si="7"/>
        <v>1056</v>
      </c>
      <c r="AJ10" s="69">
        <f t="shared" si="8"/>
        <v>1056</v>
      </c>
      <c r="AK10" s="69">
        <f t="shared" si="9"/>
        <v>1056</v>
      </c>
      <c r="AL10" s="69">
        <f t="shared" si="10"/>
        <v>1152</v>
      </c>
      <c r="AM10" s="69">
        <f t="shared" si="11"/>
        <v>1152</v>
      </c>
      <c r="AN10" s="69">
        <f t="shared" si="12"/>
        <v>1152</v>
      </c>
      <c r="AO10" s="69">
        <f t="shared" si="13"/>
        <v>0</v>
      </c>
      <c r="AP10" s="69">
        <f t="shared" si="14"/>
        <v>0</v>
      </c>
      <c r="AQ10" s="69">
        <f t="shared" si="15"/>
        <v>0</v>
      </c>
      <c r="AR10" s="69">
        <f t="shared" si="16"/>
        <v>0</v>
      </c>
      <c r="AS10" s="69">
        <f t="shared" si="17"/>
        <v>0</v>
      </c>
      <c r="AT10" s="69">
        <f t="shared" si="18"/>
        <v>0</v>
      </c>
      <c r="AU10" s="69">
        <f t="shared" si="19"/>
        <v>0</v>
      </c>
      <c r="AV10" s="69" t="s">
        <v>133</v>
      </c>
      <c r="AW10" s="69"/>
      <c r="AX10" s="69"/>
      <c r="AY10" s="69"/>
      <c r="AZ10" s="69"/>
    </row>
    <row r="11" spans="1:52" ht="21.95" customHeight="1">
      <c r="A11" s="4"/>
      <c r="B11" s="15" t="s">
        <v>129</v>
      </c>
      <c r="C11" s="4"/>
      <c r="D11" s="4"/>
      <c r="E11" s="1">
        <v>2.2999999999999998</v>
      </c>
      <c r="F11" s="4"/>
      <c r="G11" s="4"/>
      <c r="H11" s="4"/>
      <c r="I11" s="4"/>
      <c r="J11" s="4"/>
      <c r="K11" s="4"/>
      <c r="L11" s="4"/>
      <c r="M11" s="4"/>
      <c r="N11" s="32"/>
      <c r="O11" s="32"/>
      <c r="P11" s="69"/>
      <c r="Q11" s="69" t="s">
        <v>15</v>
      </c>
      <c r="R11" s="69">
        <f t="shared" si="22"/>
        <v>8</v>
      </c>
      <c r="S11" s="69">
        <f t="shared" si="23"/>
        <v>900</v>
      </c>
      <c r="T11" s="69">
        <f t="shared" ref="T11:T14" si="27">(1-$G$14)*S5</f>
        <v>828</v>
      </c>
      <c r="U11" s="70">
        <f t="shared" si="21"/>
        <v>1070.8800000000001</v>
      </c>
      <c r="V11" s="70">
        <f t="shared" si="24"/>
        <v>8</v>
      </c>
      <c r="W11" s="69">
        <f t="shared" si="25"/>
        <v>4500</v>
      </c>
      <c r="X11" s="69">
        <f>SUM($T$4:T11)+SUM(T51:T62)+(SUM(AH11:AU11))</f>
        <v>20136</v>
      </c>
      <c r="Y11" s="69"/>
      <c r="Z11" s="69"/>
      <c r="AA11" s="69">
        <f t="shared" si="26"/>
        <v>0</v>
      </c>
      <c r="AB11" s="69">
        <f t="shared" ref="AB11:AB55" si="28">IF($L$14-$L$13&gt;7,S4,0)</f>
        <v>0</v>
      </c>
      <c r="AC11" s="69">
        <f t="shared" si="2"/>
        <v>0</v>
      </c>
      <c r="AD11" s="69">
        <f t="shared" si="3"/>
        <v>0</v>
      </c>
      <c r="AE11" s="69">
        <f t="shared" si="4"/>
        <v>0</v>
      </c>
      <c r="AF11" s="69">
        <f t="shared" si="5"/>
        <v>0</v>
      </c>
      <c r="AG11" s="69"/>
      <c r="AH11" s="69">
        <f t="shared" si="6"/>
        <v>1056</v>
      </c>
      <c r="AI11" s="69">
        <f t="shared" si="7"/>
        <v>1056</v>
      </c>
      <c r="AJ11" s="69">
        <f t="shared" si="8"/>
        <v>1056</v>
      </c>
      <c r="AK11" s="69">
        <f t="shared" si="9"/>
        <v>1056</v>
      </c>
      <c r="AL11" s="69">
        <f t="shared" si="10"/>
        <v>1056</v>
      </c>
      <c r="AM11" s="69">
        <f t="shared" si="11"/>
        <v>1152</v>
      </c>
      <c r="AN11" s="69">
        <f t="shared" si="12"/>
        <v>1152</v>
      </c>
      <c r="AO11" s="69">
        <f t="shared" si="13"/>
        <v>0</v>
      </c>
      <c r="AP11" s="69">
        <f t="shared" si="14"/>
        <v>0</v>
      </c>
      <c r="AQ11" s="69">
        <f t="shared" si="15"/>
        <v>0</v>
      </c>
      <c r="AR11" s="69">
        <f t="shared" si="16"/>
        <v>0</v>
      </c>
      <c r="AS11" s="69">
        <f t="shared" si="17"/>
        <v>0</v>
      </c>
      <c r="AT11" s="69">
        <f t="shared" si="18"/>
        <v>0</v>
      </c>
      <c r="AU11" s="69">
        <f t="shared" si="19"/>
        <v>0</v>
      </c>
      <c r="AV11" s="69" t="s">
        <v>134</v>
      </c>
      <c r="AW11" s="69"/>
      <c r="AX11" s="69"/>
      <c r="AY11" s="69"/>
      <c r="AZ11" s="69"/>
    </row>
    <row r="12" spans="1:52" ht="21.95" customHeight="1" thickBot="1">
      <c r="A12" s="4"/>
      <c r="B12" s="18" t="s">
        <v>26</v>
      </c>
      <c r="C12" s="17"/>
      <c r="D12" s="29" t="s">
        <v>30</v>
      </c>
      <c r="E12" s="29" t="s">
        <v>31</v>
      </c>
      <c r="F12" s="29" t="s">
        <v>33</v>
      </c>
      <c r="G12" s="29" t="s">
        <v>32</v>
      </c>
      <c r="H12" s="29" t="s">
        <v>38</v>
      </c>
      <c r="I12" s="16"/>
      <c r="J12" s="11" t="s">
        <v>34</v>
      </c>
      <c r="K12" s="7"/>
      <c r="L12" s="7"/>
      <c r="M12" s="4"/>
      <c r="N12" s="4"/>
      <c r="O12" s="32"/>
      <c r="P12" s="69"/>
      <c r="Q12" s="69" t="s">
        <v>44</v>
      </c>
      <c r="R12" s="69">
        <f t="shared" si="22"/>
        <v>9</v>
      </c>
      <c r="S12" s="69">
        <f t="shared" si="23"/>
        <v>900</v>
      </c>
      <c r="T12" s="69">
        <f t="shared" si="27"/>
        <v>828</v>
      </c>
      <c r="U12" s="70">
        <f t="shared" si="21"/>
        <v>1070.8800000000001</v>
      </c>
      <c r="V12" s="70">
        <f t="shared" si="24"/>
        <v>9</v>
      </c>
      <c r="W12" s="69">
        <f t="shared" si="25"/>
        <v>4500</v>
      </c>
      <c r="X12" s="69">
        <f>SUM($T$4:T12)+SUM(T52:T63)+(SUM(AH12:AU12))</f>
        <v>19812</v>
      </c>
      <c r="Y12" s="69"/>
      <c r="Z12" s="69"/>
      <c r="AA12" s="69">
        <f t="shared" si="26"/>
        <v>0</v>
      </c>
      <c r="AB12" s="69">
        <f t="shared" si="28"/>
        <v>0</v>
      </c>
      <c r="AC12" s="69">
        <f t="shared" ref="AC12:AC55" si="29">IF($L$14-$L$13&gt;8,S4,0)</f>
        <v>0</v>
      </c>
      <c r="AD12" s="69">
        <f t="shared" si="3"/>
        <v>0</v>
      </c>
      <c r="AE12" s="69">
        <f t="shared" si="4"/>
        <v>0</v>
      </c>
      <c r="AF12" s="69">
        <f t="shared" si="5"/>
        <v>0</v>
      </c>
      <c r="AG12" s="69"/>
      <c r="AH12" s="69">
        <f t="shared" si="6"/>
        <v>1056</v>
      </c>
      <c r="AI12" s="69">
        <f t="shared" si="7"/>
        <v>1056</v>
      </c>
      <c r="AJ12" s="69">
        <f t="shared" si="8"/>
        <v>1056</v>
      </c>
      <c r="AK12" s="69">
        <f t="shared" si="9"/>
        <v>1056</v>
      </c>
      <c r="AL12" s="69">
        <f t="shared" si="10"/>
        <v>1056</v>
      </c>
      <c r="AM12" s="69">
        <f t="shared" si="11"/>
        <v>1056</v>
      </c>
      <c r="AN12" s="69">
        <f t="shared" si="12"/>
        <v>1152</v>
      </c>
      <c r="AO12" s="69">
        <f t="shared" si="13"/>
        <v>0</v>
      </c>
      <c r="AP12" s="69">
        <f t="shared" si="14"/>
        <v>0</v>
      </c>
      <c r="AQ12" s="69">
        <f t="shared" si="15"/>
        <v>0</v>
      </c>
      <c r="AR12" s="69">
        <f t="shared" si="16"/>
        <v>0</v>
      </c>
      <c r="AS12" s="69">
        <f t="shared" si="17"/>
        <v>0</v>
      </c>
      <c r="AT12" s="69">
        <f t="shared" si="18"/>
        <v>0</v>
      </c>
      <c r="AU12" s="69">
        <f t="shared" si="19"/>
        <v>0</v>
      </c>
      <c r="AV12" s="69" t="s">
        <v>135</v>
      </c>
      <c r="AW12" s="69"/>
      <c r="AX12" s="69"/>
      <c r="AY12" s="69"/>
      <c r="AZ12" s="69"/>
    </row>
    <row r="13" spans="1:52" ht="21.95" customHeight="1">
      <c r="A13" s="4"/>
      <c r="B13" s="5" t="s">
        <v>27</v>
      </c>
      <c r="C13" s="4"/>
      <c r="D13" s="19">
        <v>11</v>
      </c>
      <c r="E13" s="20">
        <v>12</v>
      </c>
      <c r="F13" s="20">
        <v>11</v>
      </c>
      <c r="G13" s="21">
        <v>9</v>
      </c>
      <c r="H13" s="35">
        <f>AVERAGE(D13:G13)</f>
        <v>10.75</v>
      </c>
      <c r="I13" s="4"/>
      <c r="J13" s="5" t="s">
        <v>35</v>
      </c>
      <c r="K13" s="4"/>
      <c r="L13" s="30">
        <v>4</v>
      </c>
      <c r="M13" s="28" t="s">
        <v>100</v>
      </c>
      <c r="N13" s="4"/>
      <c r="O13" s="32"/>
      <c r="P13" s="69"/>
      <c r="Q13" s="69" t="s">
        <v>44</v>
      </c>
      <c r="R13" s="69">
        <f t="shared" si="22"/>
        <v>10</v>
      </c>
      <c r="S13" s="69">
        <f t="shared" si="23"/>
        <v>900</v>
      </c>
      <c r="T13" s="69">
        <f t="shared" si="27"/>
        <v>828</v>
      </c>
      <c r="U13" s="70">
        <f t="shared" si="21"/>
        <v>1070.8800000000001</v>
      </c>
      <c r="V13" s="70">
        <f t="shared" si="24"/>
        <v>10</v>
      </c>
      <c r="W13" s="69">
        <f t="shared" si="25"/>
        <v>4500</v>
      </c>
      <c r="X13" s="69">
        <f>SUM($T$4:T13)+SUM(T53:T64)+(SUM(AH13:AU13))</f>
        <v>19488</v>
      </c>
      <c r="Y13" s="69"/>
      <c r="Z13" s="69"/>
      <c r="AA13" s="69">
        <f t="shared" si="26"/>
        <v>0</v>
      </c>
      <c r="AB13" s="69">
        <f t="shared" si="28"/>
        <v>0</v>
      </c>
      <c r="AC13" s="69">
        <f t="shared" si="29"/>
        <v>0</v>
      </c>
      <c r="AD13" s="69">
        <f t="shared" ref="AD13:AD55" si="30">IF($L$14-$L$13&gt;9,S4,0)</f>
        <v>0</v>
      </c>
      <c r="AE13" s="69">
        <f t="shared" si="4"/>
        <v>0</v>
      </c>
      <c r="AF13" s="69">
        <f t="shared" si="5"/>
        <v>0</v>
      </c>
      <c r="AG13" s="69"/>
      <c r="AH13" s="69">
        <f t="shared" si="6"/>
        <v>1056</v>
      </c>
      <c r="AI13" s="69">
        <f t="shared" si="7"/>
        <v>1056</v>
      </c>
      <c r="AJ13" s="69">
        <f t="shared" si="8"/>
        <v>1056</v>
      </c>
      <c r="AK13" s="69">
        <f t="shared" si="9"/>
        <v>1056</v>
      </c>
      <c r="AL13" s="69">
        <f t="shared" si="10"/>
        <v>1056</v>
      </c>
      <c r="AM13" s="69">
        <f t="shared" si="11"/>
        <v>1056</v>
      </c>
      <c r="AN13" s="69">
        <f t="shared" si="12"/>
        <v>1056</v>
      </c>
      <c r="AO13" s="69">
        <f t="shared" si="13"/>
        <v>0</v>
      </c>
      <c r="AP13" s="69">
        <f t="shared" si="14"/>
        <v>0</v>
      </c>
      <c r="AQ13" s="69">
        <f t="shared" si="15"/>
        <v>0</v>
      </c>
      <c r="AR13" s="69">
        <f t="shared" si="16"/>
        <v>0</v>
      </c>
      <c r="AS13" s="69">
        <f t="shared" si="17"/>
        <v>0</v>
      </c>
      <c r="AT13" s="69">
        <f t="shared" si="18"/>
        <v>0</v>
      </c>
      <c r="AU13" s="69">
        <f t="shared" si="19"/>
        <v>0</v>
      </c>
      <c r="AV13" s="69" t="s">
        <v>135</v>
      </c>
      <c r="AW13" s="69"/>
      <c r="AX13" s="69"/>
      <c r="AY13" s="69"/>
      <c r="AZ13" s="69"/>
    </row>
    <row r="14" spans="1:52" ht="21.95" customHeight="1">
      <c r="A14" s="4"/>
      <c r="B14" s="5" t="s">
        <v>28</v>
      </c>
      <c r="C14" s="4"/>
      <c r="D14" s="22">
        <v>0.05</v>
      </c>
      <c r="E14" s="23">
        <v>0.03</v>
      </c>
      <c r="F14" s="23">
        <v>0.04</v>
      </c>
      <c r="G14" s="24">
        <v>0.08</v>
      </c>
      <c r="H14" s="34">
        <f t="shared" ref="H14:H15" si="31">AVERAGE(D14:G14)</f>
        <v>0.05</v>
      </c>
      <c r="I14" s="4"/>
      <c r="J14" s="5" t="s">
        <v>36</v>
      </c>
      <c r="K14" s="4"/>
      <c r="L14" s="31">
        <v>10</v>
      </c>
      <c r="M14" s="28" t="s">
        <v>97</v>
      </c>
      <c r="N14" s="61">
        <f>(L14-L13)*7</f>
        <v>42</v>
      </c>
      <c r="O14" s="32"/>
      <c r="P14" s="69"/>
      <c r="Q14" s="69" t="s">
        <v>44</v>
      </c>
      <c r="R14" s="69">
        <f t="shared" si="22"/>
        <v>11</v>
      </c>
      <c r="S14" s="69">
        <f>S13</f>
        <v>900</v>
      </c>
      <c r="T14" s="69">
        <f t="shared" si="27"/>
        <v>828</v>
      </c>
      <c r="U14" s="70">
        <f t="shared" si="21"/>
        <v>1070.8800000000001</v>
      </c>
      <c r="V14" s="70">
        <f t="shared" si="24"/>
        <v>11</v>
      </c>
      <c r="W14" s="69">
        <f t="shared" si="25"/>
        <v>4500</v>
      </c>
      <c r="X14" s="69">
        <f>SUM($T$4:T14)+SUM(T54:T65)+(SUM(AH14:AU14))</f>
        <v>19260</v>
      </c>
      <c r="Y14" s="69"/>
      <c r="Z14" s="69"/>
      <c r="AA14" s="69">
        <f t="shared" si="26"/>
        <v>0</v>
      </c>
      <c r="AB14" s="69">
        <f t="shared" si="28"/>
        <v>0</v>
      </c>
      <c r="AC14" s="69">
        <f t="shared" si="29"/>
        <v>0</v>
      </c>
      <c r="AD14" s="69">
        <f t="shared" si="30"/>
        <v>0</v>
      </c>
      <c r="AE14" s="69">
        <f t="shared" ref="AE14:AE55" si="32">IF($L$14-$L$13&gt;10,S4,0)</f>
        <v>0</v>
      </c>
      <c r="AF14" s="69">
        <f t="shared" si="5"/>
        <v>0</v>
      </c>
      <c r="AG14" s="69"/>
      <c r="AH14" s="69">
        <f t="shared" si="6"/>
        <v>1056</v>
      </c>
      <c r="AI14" s="69">
        <f t="shared" si="7"/>
        <v>1056</v>
      </c>
      <c r="AJ14" s="69">
        <f t="shared" si="8"/>
        <v>1056</v>
      </c>
      <c r="AK14" s="69">
        <f t="shared" si="9"/>
        <v>1056</v>
      </c>
      <c r="AL14" s="69">
        <f t="shared" si="10"/>
        <v>1056</v>
      </c>
      <c r="AM14" s="69">
        <f t="shared" si="11"/>
        <v>1056</v>
      </c>
      <c r="AN14" s="69">
        <f t="shared" si="12"/>
        <v>1056</v>
      </c>
      <c r="AO14" s="69">
        <f t="shared" si="13"/>
        <v>0</v>
      </c>
      <c r="AP14" s="69">
        <f t="shared" si="14"/>
        <v>0</v>
      </c>
      <c r="AQ14" s="69">
        <f t="shared" si="15"/>
        <v>0</v>
      </c>
      <c r="AR14" s="69">
        <f t="shared" si="16"/>
        <v>0</v>
      </c>
      <c r="AS14" s="69">
        <f t="shared" si="17"/>
        <v>0</v>
      </c>
      <c r="AT14" s="69">
        <f t="shared" si="18"/>
        <v>0</v>
      </c>
      <c r="AU14" s="69">
        <f t="shared" si="19"/>
        <v>0</v>
      </c>
      <c r="AV14" s="69" t="s">
        <v>135</v>
      </c>
      <c r="AW14" s="69"/>
      <c r="AX14" s="69"/>
      <c r="AY14" s="69"/>
      <c r="AZ14" s="69"/>
    </row>
    <row r="15" spans="1:52" ht="21.95" customHeight="1">
      <c r="A15" s="4"/>
      <c r="B15" s="5" t="s">
        <v>29</v>
      </c>
      <c r="C15" s="4"/>
      <c r="D15" s="25">
        <v>0.03</v>
      </c>
      <c r="E15" s="26">
        <v>0.06</v>
      </c>
      <c r="F15" s="26">
        <v>0.05</v>
      </c>
      <c r="G15" s="27">
        <v>7.0000000000000007E-2</v>
      </c>
      <c r="H15" s="34">
        <f t="shared" si="31"/>
        <v>5.2500000000000005E-2</v>
      </c>
      <c r="I15" s="4"/>
      <c r="J15" s="5" t="s">
        <v>37</v>
      </c>
      <c r="K15" s="4"/>
      <c r="L15" s="31">
        <v>29</v>
      </c>
      <c r="M15" s="28" t="s">
        <v>101</v>
      </c>
      <c r="N15" s="61">
        <f>(L15-L14)*7</f>
        <v>133</v>
      </c>
      <c r="O15" s="32"/>
      <c r="P15" s="69"/>
      <c r="Q15" s="69" t="s">
        <v>44</v>
      </c>
      <c r="R15" s="69">
        <f t="shared" si="22"/>
        <v>12</v>
      </c>
      <c r="S15" s="69">
        <f>E10*D13</f>
        <v>1100</v>
      </c>
      <c r="T15" s="69">
        <f>(1-$D$14)*S9</f>
        <v>855</v>
      </c>
      <c r="U15" s="70">
        <f t="shared" si="21"/>
        <v>1070.8800000000001</v>
      </c>
      <c r="V15" s="70">
        <f t="shared" si="24"/>
        <v>12</v>
      </c>
      <c r="W15" s="69">
        <f t="shared" si="25"/>
        <v>4700</v>
      </c>
      <c r="X15" s="69">
        <f>SUM($T$4:T15)+SUM(T55:T66)+(SUM(AH15:AU15))</f>
        <v>19059</v>
      </c>
      <c r="Y15" s="69"/>
      <c r="Z15" s="69"/>
      <c r="AA15" s="69">
        <f t="shared" si="26"/>
        <v>0</v>
      </c>
      <c r="AB15" s="69">
        <f t="shared" si="28"/>
        <v>0</v>
      </c>
      <c r="AC15" s="69">
        <f t="shared" si="29"/>
        <v>0</v>
      </c>
      <c r="AD15" s="69">
        <f t="shared" si="30"/>
        <v>0</v>
      </c>
      <c r="AE15" s="69">
        <f t="shared" si="32"/>
        <v>0</v>
      </c>
      <c r="AF15" s="69">
        <f t="shared" ref="AF15:AF55" si="33">IF($L$14-$L$13&gt;11,S4,0)</f>
        <v>0</v>
      </c>
      <c r="AG15" s="69"/>
      <c r="AH15" s="69">
        <f t="shared" si="6"/>
        <v>1012</v>
      </c>
      <c r="AI15" s="69">
        <f t="shared" si="7"/>
        <v>1056</v>
      </c>
      <c r="AJ15" s="69">
        <f t="shared" si="8"/>
        <v>1056</v>
      </c>
      <c r="AK15" s="69">
        <f t="shared" si="9"/>
        <v>1056</v>
      </c>
      <c r="AL15" s="69">
        <f t="shared" si="10"/>
        <v>1056</v>
      </c>
      <c r="AM15" s="69">
        <f t="shared" si="11"/>
        <v>1056</v>
      </c>
      <c r="AN15" s="69">
        <f t="shared" si="12"/>
        <v>1056</v>
      </c>
      <c r="AO15" s="69">
        <f t="shared" si="13"/>
        <v>0</v>
      </c>
      <c r="AP15" s="69">
        <f t="shared" si="14"/>
        <v>0</v>
      </c>
      <c r="AQ15" s="69">
        <f t="shared" si="15"/>
        <v>0</v>
      </c>
      <c r="AR15" s="69">
        <f t="shared" si="16"/>
        <v>0</v>
      </c>
      <c r="AS15" s="69">
        <f t="shared" si="17"/>
        <v>0</v>
      </c>
      <c r="AT15" s="69">
        <f t="shared" si="18"/>
        <v>0</v>
      </c>
      <c r="AU15" s="69">
        <f t="shared" si="19"/>
        <v>0</v>
      </c>
      <c r="AV15" s="69" t="s">
        <v>135</v>
      </c>
      <c r="AW15" s="69"/>
      <c r="AX15" s="69"/>
      <c r="AY15" s="69"/>
      <c r="AZ15" s="69"/>
    </row>
    <row r="16" spans="1:52" ht="21.9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32"/>
      <c r="O16" s="32"/>
      <c r="P16" s="69"/>
      <c r="Q16" s="69" t="s">
        <v>44</v>
      </c>
      <c r="R16" s="69">
        <f t="shared" si="22"/>
        <v>13</v>
      </c>
      <c r="S16" s="69">
        <f>S15</f>
        <v>1100</v>
      </c>
      <c r="T16" s="69">
        <f t="shared" ref="T16:T23" si="34">(1-$D$14)*S10</f>
        <v>855</v>
      </c>
      <c r="U16" s="70">
        <f>(1-$D$14)*T40</f>
        <v>1094.3999999999999</v>
      </c>
      <c r="V16" s="70">
        <f t="shared" si="24"/>
        <v>13</v>
      </c>
      <c r="W16" s="69">
        <f t="shared" si="25"/>
        <v>4900</v>
      </c>
      <c r="X16" s="69">
        <f>SUM(T4:T16)+(SUM(AH16:AU16))</f>
        <v>18858</v>
      </c>
      <c r="Y16" s="69"/>
      <c r="Z16" s="69"/>
      <c r="AA16" s="69">
        <f t="shared" si="26"/>
        <v>0</v>
      </c>
      <c r="AB16" s="69">
        <f t="shared" si="28"/>
        <v>0</v>
      </c>
      <c r="AC16" s="69">
        <f t="shared" si="29"/>
        <v>0</v>
      </c>
      <c r="AD16" s="69">
        <f t="shared" si="30"/>
        <v>0</v>
      </c>
      <c r="AE16" s="69">
        <f t="shared" si="32"/>
        <v>0</v>
      </c>
      <c r="AF16" s="69">
        <f t="shared" si="33"/>
        <v>0</v>
      </c>
      <c r="AG16" s="69"/>
      <c r="AH16" s="69">
        <f t="shared" si="6"/>
        <v>1012</v>
      </c>
      <c r="AI16" s="69">
        <f t="shared" si="7"/>
        <v>1012</v>
      </c>
      <c r="AJ16" s="69">
        <f t="shared" si="8"/>
        <v>1056</v>
      </c>
      <c r="AK16" s="69">
        <f t="shared" si="9"/>
        <v>1056</v>
      </c>
      <c r="AL16" s="69">
        <f t="shared" si="10"/>
        <v>1056</v>
      </c>
      <c r="AM16" s="69">
        <f t="shared" si="11"/>
        <v>1056</v>
      </c>
      <c r="AN16" s="69">
        <f t="shared" si="12"/>
        <v>1056</v>
      </c>
      <c r="AO16" s="69">
        <f t="shared" si="13"/>
        <v>0</v>
      </c>
      <c r="AP16" s="69">
        <f t="shared" si="14"/>
        <v>0</v>
      </c>
      <c r="AQ16" s="69">
        <f t="shared" si="15"/>
        <v>0</v>
      </c>
      <c r="AR16" s="69">
        <f t="shared" si="16"/>
        <v>0</v>
      </c>
      <c r="AS16" s="69">
        <f t="shared" si="17"/>
        <v>0</v>
      </c>
      <c r="AT16" s="69">
        <f t="shared" si="18"/>
        <v>0</v>
      </c>
      <c r="AU16" s="69">
        <f t="shared" si="19"/>
        <v>0</v>
      </c>
      <c r="AV16" s="69" t="s">
        <v>136</v>
      </c>
      <c r="AW16" s="69"/>
      <c r="AX16" s="69"/>
      <c r="AY16" s="69"/>
      <c r="AZ16" s="69"/>
    </row>
    <row r="17" spans="1:52" ht="21.95" customHeight="1" thickBot="1">
      <c r="A17" s="4"/>
      <c r="B17" s="11" t="s">
        <v>56</v>
      </c>
      <c r="C17" s="7"/>
      <c r="D17" s="101" t="s">
        <v>57</v>
      </c>
      <c r="E17" s="101" t="s">
        <v>58</v>
      </c>
      <c r="F17" s="4"/>
      <c r="G17" s="4"/>
      <c r="H17" s="4"/>
      <c r="I17" s="4"/>
      <c r="J17" s="11" t="s">
        <v>117</v>
      </c>
      <c r="K17" s="7"/>
      <c r="L17" s="7"/>
      <c r="M17" s="4"/>
      <c r="N17" s="4"/>
      <c r="O17" s="4"/>
      <c r="P17" s="69"/>
      <c r="Q17" s="69" t="s">
        <v>43</v>
      </c>
      <c r="R17" s="69">
        <f t="shared" si="22"/>
        <v>14</v>
      </c>
      <c r="S17" s="69">
        <f t="shared" ref="S17:S23" si="35">S16</f>
        <v>1100</v>
      </c>
      <c r="T17" s="69">
        <f t="shared" si="34"/>
        <v>855</v>
      </c>
      <c r="U17" s="70">
        <f t="shared" ref="U17:U27" si="36">(1-$D$14)*T41</f>
        <v>1094.3999999999999</v>
      </c>
      <c r="V17" s="70">
        <f t="shared" si="24"/>
        <v>14</v>
      </c>
      <c r="W17" s="69">
        <f t="shared" si="25"/>
        <v>5100</v>
      </c>
      <c r="X17" s="69">
        <f t="shared" ref="X17:X55" si="37">SUM(T5:T17)+(SUM(AH17:AU17))</f>
        <v>18657</v>
      </c>
      <c r="Y17" s="69"/>
      <c r="Z17" s="69"/>
      <c r="AA17" s="69">
        <f t="shared" si="26"/>
        <v>0</v>
      </c>
      <c r="AB17" s="69">
        <f t="shared" si="28"/>
        <v>0</v>
      </c>
      <c r="AC17" s="69">
        <f t="shared" si="29"/>
        <v>0</v>
      </c>
      <c r="AD17" s="69">
        <f t="shared" si="30"/>
        <v>0</v>
      </c>
      <c r="AE17" s="69">
        <f t="shared" si="32"/>
        <v>0</v>
      </c>
      <c r="AF17" s="69">
        <f t="shared" si="33"/>
        <v>0</v>
      </c>
      <c r="AG17" s="69"/>
      <c r="AH17" s="69">
        <f t="shared" ref="AH17:AH55" si="38">IF($L$15-$L$14&gt;12,$T4,0)</f>
        <v>1012</v>
      </c>
      <c r="AI17" s="69">
        <f t="shared" si="7"/>
        <v>1012</v>
      </c>
      <c r="AJ17" s="69">
        <f t="shared" si="8"/>
        <v>1012</v>
      </c>
      <c r="AK17" s="69">
        <f t="shared" si="9"/>
        <v>1056</v>
      </c>
      <c r="AL17" s="69">
        <f t="shared" si="10"/>
        <v>1056</v>
      </c>
      <c r="AM17" s="69">
        <f t="shared" si="11"/>
        <v>1056</v>
      </c>
      <c r="AN17" s="69">
        <f t="shared" si="12"/>
        <v>1056</v>
      </c>
      <c r="AO17" s="69">
        <f t="shared" si="13"/>
        <v>0</v>
      </c>
      <c r="AP17" s="69">
        <f t="shared" si="14"/>
        <v>0</v>
      </c>
      <c r="AQ17" s="69">
        <f t="shared" si="15"/>
        <v>0</v>
      </c>
      <c r="AR17" s="69">
        <f t="shared" si="16"/>
        <v>0</v>
      </c>
      <c r="AS17" s="69">
        <f t="shared" si="17"/>
        <v>0</v>
      </c>
      <c r="AT17" s="69">
        <f t="shared" si="18"/>
        <v>0</v>
      </c>
      <c r="AU17" s="69">
        <f t="shared" si="19"/>
        <v>0</v>
      </c>
      <c r="AV17" s="69" t="s">
        <v>136</v>
      </c>
      <c r="AW17" s="69"/>
      <c r="AX17" s="69"/>
      <c r="AY17" s="69"/>
      <c r="AZ17" s="69"/>
    </row>
    <row r="18" spans="1:52" ht="21.95" customHeight="1">
      <c r="A18" s="4"/>
      <c r="B18" s="5" t="s">
        <v>115</v>
      </c>
      <c r="C18" s="4"/>
      <c r="D18" s="30">
        <v>15</v>
      </c>
      <c r="E18" s="30">
        <v>58</v>
      </c>
      <c r="F18" s="28" t="s">
        <v>5</v>
      </c>
      <c r="G18" s="4"/>
      <c r="H18" s="4"/>
      <c r="I18" s="4"/>
      <c r="J18" s="5" t="s">
        <v>114</v>
      </c>
      <c r="K18" s="4"/>
      <c r="L18" s="31">
        <v>285</v>
      </c>
      <c r="M18" s="28" t="s">
        <v>5</v>
      </c>
      <c r="N18" s="4"/>
      <c r="O18" s="4"/>
      <c r="P18" s="69"/>
      <c r="Q18" s="69" t="s">
        <v>43</v>
      </c>
      <c r="R18" s="69">
        <f t="shared" si="22"/>
        <v>15</v>
      </c>
      <c r="S18" s="69">
        <f t="shared" si="35"/>
        <v>1100</v>
      </c>
      <c r="T18" s="69">
        <f t="shared" si="34"/>
        <v>855</v>
      </c>
      <c r="U18" s="70">
        <f t="shared" si="36"/>
        <v>1094.3999999999999</v>
      </c>
      <c r="V18" s="70">
        <f t="shared" si="24"/>
        <v>15</v>
      </c>
      <c r="W18" s="69">
        <f t="shared" si="25"/>
        <v>5300</v>
      </c>
      <c r="X18" s="69">
        <f t="shared" si="37"/>
        <v>18456</v>
      </c>
      <c r="Y18" s="69"/>
      <c r="Z18" s="69"/>
      <c r="AA18" s="69">
        <f t="shared" si="26"/>
        <v>0</v>
      </c>
      <c r="AB18" s="69">
        <f t="shared" si="28"/>
        <v>0</v>
      </c>
      <c r="AC18" s="69">
        <f t="shared" si="29"/>
        <v>0</v>
      </c>
      <c r="AD18" s="69">
        <f t="shared" si="30"/>
        <v>0</v>
      </c>
      <c r="AE18" s="69">
        <f t="shared" si="32"/>
        <v>0</v>
      </c>
      <c r="AF18" s="69">
        <f t="shared" si="33"/>
        <v>0</v>
      </c>
      <c r="AG18" s="69"/>
      <c r="AH18" s="69">
        <f t="shared" si="38"/>
        <v>1012</v>
      </c>
      <c r="AI18" s="69">
        <f t="shared" ref="AI18:AI55" si="39">IF($L$15-$L$14&gt;13,$T4,0)</f>
        <v>1012</v>
      </c>
      <c r="AJ18" s="69">
        <f t="shared" si="8"/>
        <v>1012</v>
      </c>
      <c r="AK18" s="69">
        <f t="shared" si="9"/>
        <v>1012</v>
      </c>
      <c r="AL18" s="69">
        <f t="shared" si="10"/>
        <v>1056</v>
      </c>
      <c r="AM18" s="69">
        <f t="shared" si="11"/>
        <v>1056</v>
      </c>
      <c r="AN18" s="69">
        <f t="shared" si="12"/>
        <v>1056</v>
      </c>
      <c r="AO18" s="69">
        <f t="shared" si="13"/>
        <v>0</v>
      </c>
      <c r="AP18" s="69">
        <f t="shared" si="14"/>
        <v>0</v>
      </c>
      <c r="AQ18" s="69">
        <f t="shared" si="15"/>
        <v>0</v>
      </c>
      <c r="AR18" s="69">
        <f t="shared" si="16"/>
        <v>0</v>
      </c>
      <c r="AS18" s="69">
        <f t="shared" si="17"/>
        <v>0</v>
      </c>
      <c r="AT18" s="69">
        <f t="shared" si="18"/>
        <v>0</v>
      </c>
      <c r="AU18" s="69">
        <f t="shared" si="19"/>
        <v>0</v>
      </c>
      <c r="AV18" s="69" t="s">
        <v>136</v>
      </c>
      <c r="AW18" s="69"/>
      <c r="AX18" s="69"/>
      <c r="AY18" s="69"/>
      <c r="AZ18" s="69"/>
    </row>
    <row r="19" spans="1:52" ht="21.95" customHeight="1">
      <c r="A19" s="4"/>
      <c r="B19" s="5" t="s">
        <v>66</v>
      </c>
      <c r="C19" s="4"/>
      <c r="D19" s="36">
        <f>(E18-D18)/(7*(L14-L13))</f>
        <v>1.0238095238095237</v>
      </c>
      <c r="E19" s="36">
        <f>(L18-E18)/((L15-L14)*7)</f>
        <v>1.7067669172932332</v>
      </c>
      <c r="F19" s="10" t="s">
        <v>3</v>
      </c>
      <c r="G19" s="4"/>
      <c r="H19" s="4"/>
      <c r="I19" s="4"/>
      <c r="J19" s="5" t="s">
        <v>40</v>
      </c>
      <c r="K19" s="4"/>
      <c r="L19" s="31">
        <v>270</v>
      </c>
      <c r="M19" s="28" t="s">
        <v>39</v>
      </c>
      <c r="N19" s="31">
        <v>300</v>
      </c>
      <c r="O19" s="28" t="s">
        <v>5</v>
      </c>
      <c r="P19" s="69"/>
      <c r="Q19" s="69" t="s">
        <v>43</v>
      </c>
      <c r="R19" s="69">
        <f t="shared" si="22"/>
        <v>16</v>
      </c>
      <c r="S19" s="69">
        <f t="shared" si="35"/>
        <v>1100</v>
      </c>
      <c r="T19" s="69">
        <f t="shared" si="34"/>
        <v>855</v>
      </c>
      <c r="U19" s="70">
        <f t="shared" si="36"/>
        <v>1094.3999999999999</v>
      </c>
      <c r="V19" s="70">
        <f t="shared" si="24"/>
        <v>16</v>
      </c>
      <c r="W19" s="69">
        <f t="shared" si="25"/>
        <v>5500</v>
      </c>
      <c r="X19" s="69">
        <f t="shared" si="37"/>
        <v>18255</v>
      </c>
      <c r="Y19" s="69"/>
      <c r="Z19" s="69"/>
      <c r="AA19" s="69">
        <f t="shared" si="26"/>
        <v>0</v>
      </c>
      <c r="AB19" s="69">
        <f t="shared" si="28"/>
        <v>0</v>
      </c>
      <c r="AC19" s="69">
        <f t="shared" si="29"/>
        <v>0</v>
      </c>
      <c r="AD19" s="69">
        <f t="shared" si="30"/>
        <v>0</v>
      </c>
      <c r="AE19" s="69">
        <f t="shared" si="32"/>
        <v>0</v>
      </c>
      <c r="AF19" s="69">
        <f t="shared" si="33"/>
        <v>0</v>
      </c>
      <c r="AG19" s="69"/>
      <c r="AH19" s="69">
        <f t="shared" si="38"/>
        <v>1012</v>
      </c>
      <c r="AI19" s="69">
        <f t="shared" si="39"/>
        <v>1012</v>
      </c>
      <c r="AJ19" s="69">
        <f t="shared" ref="AJ19:AJ55" si="40">IF($L$15-$L$14&gt;14,$T4,0)</f>
        <v>1012</v>
      </c>
      <c r="AK19" s="69">
        <f t="shared" si="9"/>
        <v>1012</v>
      </c>
      <c r="AL19" s="69">
        <f t="shared" si="10"/>
        <v>1012</v>
      </c>
      <c r="AM19" s="69">
        <f t="shared" si="11"/>
        <v>1056</v>
      </c>
      <c r="AN19" s="69">
        <f t="shared" si="12"/>
        <v>1056</v>
      </c>
      <c r="AO19" s="69">
        <f t="shared" si="13"/>
        <v>0</v>
      </c>
      <c r="AP19" s="69">
        <f t="shared" si="14"/>
        <v>0</v>
      </c>
      <c r="AQ19" s="69">
        <f t="shared" si="15"/>
        <v>0</v>
      </c>
      <c r="AR19" s="69">
        <f t="shared" si="16"/>
        <v>0</v>
      </c>
      <c r="AS19" s="69">
        <f t="shared" si="17"/>
        <v>0</v>
      </c>
      <c r="AT19" s="69">
        <f t="shared" si="18"/>
        <v>0</v>
      </c>
      <c r="AU19" s="69">
        <f t="shared" si="19"/>
        <v>0</v>
      </c>
      <c r="AV19" s="69" t="s">
        <v>136</v>
      </c>
      <c r="AW19" s="69"/>
      <c r="AX19" s="69"/>
      <c r="AY19" s="69"/>
      <c r="AZ19" s="69"/>
    </row>
    <row r="20" spans="1:52" ht="21.95" customHeight="1">
      <c r="A20" s="4"/>
      <c r="B20" s="5" t="s">
        <v>59</v>
      </c>
      <c r="C20" s="8"/>
      <c r="D20" s="38">
        <v>2</v>
      </c>
      <c r="E20" s="38">
        <v>2.4</v>
      </c>
      <c r="F20" s="4"/>
      <c r="G20" s="9"/>
      <c r="H20" s="4"/>
      <c r="I20" s="4"/>
      <c r="J20" s="4"/>
      <c r="K20" s="4"/>
      <c r="L20" s="4"/>
      <c r="M20" s="4"/>
      <c r="N20" s="32"/>
      <c r="O20" s="32"/>
      <c r="P20" s="69"/>
      <c r="Q20" s="69" t="s">
        <v>43</v>
      </c>
      <c r="R20" s="69">
        <f t="shared" si="22"/>
        <v>17</v>
      </c>
      <c r="S20" s="69">
        <f t="shared" si="35"/>
        <v>1100</v>
      </c>
      <c r="T20" s="69">
        <f t="shared" si="34"/>
        <v>855</v>
      </c>
      <c r="U20" s="70">
        <f t="shared" si="36"/>
        <v>1094.3999999999999</v>
      </c>
      <c r="V20" s="70">
        <f t="shared" si="24"/>
        <v>17</v>
      </c>
      <c r="W20" s="69">
        <f t="shared" si="25"/>
        <v>5500</v>
      </c>
      <c r="X20" s="69">
        <f t="shared" si="37"/>
        <v>18054</v>
      </c>
      <c r="Y20" s="69"/>
      <c r="Z20" s="69"/>
      <c r="AA20" s="69">
        <f t="shared" si="26"/>
        <v>0</v>
      </c>
      <c r="AB20" s="69">
        <f t="shared" si="28"/>
        <v>0</v>
      </c>
      <c r="AC20" s="69">
        <f t="shared" si="29"/>
        <v>0</v>
      </c>
      <c r="AD20" s="69">
        <f t="shared" si="30"/>
        <v>0</v>
      </c>
      <c r="AE20" s="69">
        <f t="shared" si="32"/>
        <v>0</v>
      </c>
      <c r="AF20" s="69">
        <f t="shared" si="33"/>
        <v>0</v>
      </c>
      <c r="AG20" s="69"/>
      <c r="AH20" s="69">
        <f t="shared" si="38"/>
        <v>1012</v>
      </c>
      <c r="AI20" s="69">
        <f t="shared" si="39"/>
        <v>1012</v>
      </c>
      <c r="AJ20" s="69">
        <f t="shared" si="40"/>
        <v>1012</v>
      </c>
      <c r="AK20" s="69">
        <f t="shared" ref="AK20:AK55" si="41">IF($L$15-$L$14&gt;15,$T4,0)</f>
        <v>1012</v>
      </c>
      <c r="AL20" s="69">
        <f t="shared" si="10"/>
        <v>1012</v>
      </c>
      <c r="AM20" s="69">
        <f t="shared" si="11"/>
        <v>1012</v>
      </c>
      <c r="AN20" s="69">
        <f t="shared" si="12"/>
        <v>1056</v>
      </c>
      <c r="AO20" s="69">
        <f t="shared" si="13"/>
        <v>0</v>
      </c>
      <c r="AP20" s="69">
        <f t="shared" si="14"/>
        <v>0</v>
      </c>
      <c r="AQ20" s="69">
        <f t="shared" si="15"/>
        <v>0</v>
      </c>
      <c r="AR20" s="69">
        <f t="shared" si="16"/>
        <v>0</v>
      </c>
      <c r="AS20" s="69">
        <f t="shared" si="17"/>
        <v>0</v>
      </c>
      <c r="AT20" s="69">
        <f t="shared" si="18"/>
        <v>0</v>
      </c>
      <c r="AU20" s="69">
        <f t="shared" si="19"/>
        <v>0</v>
      </c>
      <c r="AV20" s="69" t="s">
        <v>137</v>
      </c>
      <c r="AW20" s="69"/>
      <c r="AX20" s="69"/>
      <c r="AY20" s="69"/>
      <c r="AZ20" s="69"/>
    </row>
    <row r="21" spans="1:52" ht="21.95" customHeight="1" thickBot="1">
      <c r="A21" s="4"/>
      <c r="B21" s="5" t="s">
        <v>67</v>
      </c>
      <c r="C21" s="4"/>
      <c r="D21" s="37">
        <f>1-H14</f>
        <v>0.95</v>
      </c>
      <c r="E21" s="37">
        <f>1-H15</f>
        <v>0.94750000000000001</v>
      </c>
      <c r="F21" s="4"/>
      <c r="G21" s="39"/>
      <c r="H21" s="4"/>
      <c r="I21" s="4"/>
      <c r="J21" s="11" t="s">
        <v>60</v>
      </c>
      <c r="K21" s="7"/>
      <c r="L21" s="101" t="s">
        <v>57</v>
      </c>
      <c r="M21" s="101" t="s">
        <v>58</v>
      </c>
      <c r="N21" s="39"/>
      <c r="O21" s="39"/>
      <c r="P21" s="69"/>
      <c r="Q21" s="69" t="s">
        <v>18</v>
      </c>
      <c r="R21" s="69">
        <f t="shared" si="22"/>
        <v>18</v>
      </c>
      <c r="S21" s="69">
        <f t="shared" si="35"/>
        <v>1100</v>
      </c>
      <c r="T21" s="69">
        <f t="shared" si="34"/>
        <v>1045</v>
      </c>
      <c r="U21" s="70">
        <f t="shared" si="36"/>
        <v>1094.3999999999999</v>
      </c>
      <c r="V21" s="70">
        <f t="shared" si="24"/>
        <v>18</v>
      </c>
      <c r="W21" s="69">
        <f t="shared" si="25"/>
        <v>5500</v>
      </c>
      <c r="X21" s="69">
        <f t="shared" si="37"/>
        <v>18043</v>
      </c>
      <c r="Y21" s="69"/>
      <c r="Z21" s="69"/>
      <c r="AA21" s="69">
        <f t="shared" si="26"/>
        <v>0</v>
      </c>
      <c r="AB21" s="69">
        <f t="shared" si="28"/>
        <v>0</v>
      </c>
      <c r="AC21" s="69">
        <f t="shared" si="29"/>
        <v>0</v>
      </c>
      <c r="AD21" s="69">
        <f t="shared" si="30"/>
        <v>0</v>
      </c>
      <c r="AE21" s="69">
        <f t="shared" si="32"/>
        <v>0</v>
      </c>
      <c r="AF21" s="69">
        <f t="shared" si="33"/>
        <v>0</v>
      </c>
      <c r="AG21" s="69"/>
      <c r="AH21" s="69">
        <f t="shared" si="38"/>
        <v>828</v>
      </c>
      <c r="AI21" s="69">
        <f t="shared" si="39"/>
        <v>1012</v>
      </c>
      <c r="AJ21" s="69">
        <f t="shared" si="40"/>
        <v>1012</v>
      </c>
      <c r="AK21" s="69">
        <f t="shared" si="41"/>
        <v>1012</v>
      </c>
      <c r="AL21" s="69">
        <f t="shared" ref="AL21:AL55" si="42">IF($L$15-$L$14&gt;16,$T4,0)</f>
        <v>1012</v>
      </c>
      <c r="AM21" s="69">
        <f t="shared" si="11"/>
        <v>1012</v>
      </c>
      <c r="AN21" s="69">
        <f t="shared" si="12"/>
        <v>1012</v>
      </c>
      <c r="AO21" s="69">
        <f t="shared" si="13"/>
        <v>0</v>
      </c>
      <c r="AP21" s="69">
        <f t="shared" si="14"/>
        <v>0</v>
      </c>
      <c r="AQ21" s="69">
        <f t="shared" si="15"/>
        <v>0</v>
      </c>
      <c r="AR21" s="69">
        <f t="shared" si="16"/>
        <v>0</v>
      </c>
      <c r="AS21" s="69">
        <f t="shared" si="17"/>
        <v>0</v>
      </c>
      <c r="AT21" s="69">
        <f t="shared" si="18"/>
        <v>0</v>
      </c>
      <c r="AU21" s="69">
        <f t="shared" si="19"/>
        <v>0</v>
      </c>
      <c r="AV21" s="69" t="s">
        <v>138</v>
      </c>
      <c r="AW21" s="69"/>
      <c r="AX21" s="69"/>
      <c r="AY21" s="69"/>
      <c r="AZ21" s="69"/>
    </row>
    <row r="22" spans="1:52" ht="21.95" customHeight="1">
      <c r="A22" s="4"/>
      <c r="B22" s="4"/>
      <c r="C22" s="4"/>
      <c r="D22" s="4"/>
      <c r="E22" s="4"/>
      <c r="F22" s="4"/>
      <c r="G22" s="39"/>
      <c r="H22" s="4"/>
      <c r="I22" s="4"/>
      <c r="J22" s="40" t="s">
        <v>63</v>
      </c>
      <c r="K22" s="39"/>
      <c r="L22" s="100">
        <v>100000</v>
      </c>
      <c r="M22" s="100">
        <v>100000</v>
      </c>
      <c r="N22" s="39"/>
      <c r="O22" s="39"/>
      <c r="P22" s="69"/>
      <c r="Q22" s="69" t="s">
        <v>18</v>
      </c>
      <c r="R22" s="69">
        <f t="shared" si="22"/>
        <v>19</v>
      </c>
      <c r="S22" s="69">
        <f t="shared" si="35"/>
        <v>1100</v>
      </c>
      <c r="T22" s="69">
        <f t="shared" si="34"/>
        <v>1045</v>
      </c>
      <c r="U22" s="70">
        <f t="shared" si="36"/>
        <v>1003.1999999999999</v>
      </c>
      <c r="V22" s="70">
        <f t="shared" si="24"/>
        <v>19</v>
      </c>
      <c r="W22" s="69">
        <f t="shared" si="25"/>
        <v>5500</v>
      </c>
      <c r="X22" s="69">
        <f t="shared" si="37"/>
        <v>18076</v>
      </c>
      <c r="Y22" s="69"/>
      <c r="Z22" s="69"/>
      <c r="AA22" s="69">
        <f t="shared" si="26"/>
        <v>0</v>
      </c>
      <c r="AB22" s="69">
        <f t="shared" si="28"/>
        <v>0</v>
      </c>
      <c r="AC22" s="69">
        <f t="shared" si="29"/>
        <v>0</v>
      </c>
      <c r="AD22" s="69">
        <f t="shared" si="30"/>
        <v>0</v>
      </c>
      <c r="AE22" s="69">
        <f t="shared" si="32"/>
        <v>0</v>
      </c>
      <c r="AF22" s="69">
        <f t="shared" si="33"/>
        <v>0</v>
      </c>
      <c r="AG22" s="69"/>
      <c r="AH22" s="69">
        <f t="shared" si="38"/>
        <v>828</v>
      </c>
      <c r="AI22" s="69">
        <f t="shared" si="39"/>
        <v>828</v>
      </c>
      <c r="AJ22" s="69">
        <f t="shared" si="40"/>
        <v>1012</v>
      </c>
      <c r="AK22" s="69">
        <f t="shared" si="41"/>
        <v>1012</v>
      </c>
      <c r="AL22" s="69">
        <f t="shared" si="42"/>
        <v>1012</v>
      </c>
      <c r="AM22" s="69">
        <f t="shared" ref="AM22:AM55" si="43">IF($L$15-$L$14&gt;17,$T4,0)</f>
        <v>1012</v>
      </c>
      <c r="AN22" s="69">
        <f t="shared" si="12"/>
        <v>1012</v>
      </c>
      <c r="AO22" s="69">
        <f t="shared" si="13"/>
        <v>0</v>
      </c>
      <c r="AP22" s="69">
        <f t="shared" si="14"/>
        <v>0</v>
      </c>
      <c r="AQ22" s="69">
        <f t="shared" si="15"/>
        <v>0</v>
      </c>
      <c r="AR22" s="69">
        <f t="shared" si="16"/>
        <v>0</v>
      </c>
      <c r="AS22" s="69">
        <f t="shared" si="17"/>
        <v>0</v>
      </c>
      <c r="AT22" s="69">
        <f t="shared" si="18"/>
        <v>0</v>
      </c>
      <c r="AU22" s="69">
        <f t="shared" si="19"/>
        <v>0</v>
      </c>
      <c r="AV22" s="69" t="s">
        <v>138</v>
      </c>
      <c r="AW22" s="69"/>
      <c r="AX22" s="69"/>
      <c r="AY22" s="69"/>
      <c r="AZ22" s="69"/>
    </row>
    <row r="23" spans="1:52" ht="21.95" customHeight="1">
      <c r="A23" s="4"/>
      <c r="B23" s="5" t="s">
        <v>68</v>
      </c>
      <c r="C23" s="39"/>
      <c r="D23" s="64">
        <v>0.15</v>
      </c>
      <c r="E23" s="64">
        <v>0.2</v>
      </c>
      <c r="F23" s="10" t="s">
        <v>64</v>
      </c>
      <c r="G23" s="4"/>
      <c r="H23" s="4"/>
      <c r="I23" s="4"/>
      <c r="J23" s="5" t="s">
        <v>61</v>
      </c>
      <c r="K23" s="4"/>
      <c r="L23" s="31">
        <v>4000</v>
      </c>
      <c r="M23" s="31">
        <v>2000</v>
      </c>
      <c r="N23" s="10" t="s">
        <v>62</v>
      </c>
      <c r="O23" s="4"/>
      <c r="P23" s="69"/>
      <c r="Q23" s="69" t="s">
        <v>18</v>
      </c>
      <c r="R23" s="69">
        <f t="shared" si="22"/>
        <v>20</v>
      </c>
      <c r="S23" s="69">
        <f t="shared" si="35"/>
        <v>1100</v>
      </c>
      <c r="T23" s="69">
        <f t="shared" si="34"/>
        <v>1045</v>
      </c>
      <c r="U23" s="70">
        <f t="shared" si="36"/>
        <v>1003.1999999999999</v>
      </c>
      <c r="V23" s="70">
        <f t="shared" si="24"/>
        <v>20</v>
      </c>
      <c r="W23" s="69">
        <f t="shared" si="25"/>
        <v>5500</v>
      </c>
      <c r="X23" s="69">
        <f t="shared" si="37"/>
        <v>18109</v>
      </c>
      <c r="Y23" s="69"/>
      <c r="Z23" s="69"/>
      <c r="AA23" s="69">
        <f t="shared" si="26"/>
        <v>0</v>
      </c>
      <c r="AB23" s="69">
        <f t="shared" si="28"/>
        <v>0</v>
      </c>
      <c r="AC23" s="69">
        <f t="shared" si="29"/>
        <v>0</v>
      </c>
      <c r="AD23" s="69">
        <f t="shared" si="30"/>
        <v>0</v>
      </c>
      <c r="AE23" s="69">
        <f t="shared" si="32"/>
        <v>0</v>
      </c>
      <c r="AF23" s="69">
        <f t="shared" si="33"/>
        <v>0</v>
      </c>
      <c r="AG23" s="69"/>
      <c r="AH23" s="69">
        <f t="shared" si="38"/>
        <v>828</v>
      </c>
      <c r="AI23" s="69">
        <f t="shared" si="39"/>
        <v>828</v>
      </c>
      <c r="AJ23" s="69">
        <f t="shared" si="40"/>
        <v>828</v>
      </c>
      <c r="AK23" s="69">
        <f t="shared" si="41"/>
        <v>1012</v>
      </c>
      <c r="AL23" s="69">
        <f t="shared" si="42"/>
        <v>1012</v>
      </c>
      <c r="AM23" s="69">
        <f t="shared" si="43"/>
        <v>1012</v>
      </c>
      <c r="AN23" s="69">
        <f t="shared" ref="AN23:AN55" si="44">IF($L$15-$L$14&gt;18,$T4,0)</f>
        <v>1012</v>
      </c>
      <c r="AO23" s="69">
        <f t="shared" si="13"/>
        <v>0</v>
      </c>
      <c r="AP23" s="69">
        <f t="shared" si="14"/>
        <v>0</v>
      </c>
      <c r="AQ23" s="69">
        <f t="shared" si="15"/>
        <v>0</v>
      </c>
      <c r="AR23" s="69">
        <f t="shared" si="16"/>
        <v>0</v>
      </c>
      <c r="AS23" s="69">
        <f t="shared" si="17"/>
        <v>0</v>
      </c>
      <c r="AT23" s="69">
        <f t="shared" si="18"/>
        <v>0</v>
      </c>
      <c r="AU23" s="69">
        <f t="shared" si="19"/>
        <v>0</v>
      </c>
      <c r="AV23" s="69" t="s">
        <v>138</v>
      </c>
      <c r="AW23" s="69"/>
      <c r="AX23" s="69"/>
      <c r="AY23" s="69"/>
      <c r="AZ23" s="69"/>
    </row>
    <row r="24" spans="1:52" ht="21.95" customHeight="1">
      <c r="A24" s="4"/>
      <c r="B24" s="5" t="s">
        <v>69</v>
      </c>
      <c r="C24" s="39"/>
      <c r="D24" s="64">
        <v>200</v>
      </c>
      <c r="E24" s="64">
        <v>180</v>
      </c>
      <c r="F24" s="10" t="s">
        <v>4</v>
      </c>
      <c r="G24" s="39"/>
      <c r="H24" s="4"/>
      <c r="I24" s="4"/>
      <c r="J24" s="5" t="s">
        <v>72</v>
      </c>
      <c r="K24" s="4"/>
      <c r="L24" s="31">
        <v>3.5</v>
      </c>
      <c r="M24" s="31">
        <v>8</v>
      </c>
      <c r="N24" s="10" t="s">
        <v>8</v>
      </c>
      <c r="O24" s="4"/>
      <c r="P24" s="69"/>
      <c r="Q24" s="69" t="s">
        <v>18</v>
      </c>
      <c r="R24" s="69">
        <f t="shared" si="22"/>
        <v>21</v>
      </c>
      <c r="S24" s="69">
        <f>E10*E13</f>
        <v>1200</v>
      </c>
      <c r="T24" s="69">
        <f>(1-$E$14)*S18</f>
        <v>1067</v>
      </c>
      <c r="U24" s="70">
        <f t="shared" si="36"/>
        <v>1003.1999999999999</v>
      </c>
      <c r="V24" s="70">
        <f t="shared" si="24"/>
        <v>21</v>
      </c>
      <c r="W24" s="69">
        <f t="shared" si="25"/>
        <v>5600</v>
      </c>
      <c r="X24" s="69">
        <f t="shared" si="37"/>
        <v>18164</v>
      </c>
      <c r="Y24" s="69"/>
      <c r="Z24" s="69"/>
      <c r="AA24" s="69">
        <f t="shared" si="26"/>
        <v>0</v>
      </c>
      <c r="AB24" s="69">
        <f t="shared" si="28"/>
        <v>0</v>
      </c>
      <c r="AC24" s="69">
        <f t="shared" si="29"/>
        <v>0</v>
      </c>
      <c r="AD24" s="69">
        <f t="shared" si="30"/>
        <v>0</v>
      </c>
      <c r="AE24" s="69">
        <f t="shared" si="32"/>
        <v>0</v>
      </c>
      <c r="AF24" s="69">
        <f t="shared" si="33"/>
        <v>0</v>
      </c>
      <c r="AG24" s="69"/>
      <c r="AH24" s="69">
        <f t="shared" si="38"/>
        <v>828</v>
      </c>
      <c r="AI24" s="69">
        <f t="shared" si="39"/>
        <v>828</v>
      </c>
      <c r="AJ24" s="69">
        <f t="shared" si="40"/>
        <v>828</v>
      </c>
      <c r="AK24" s="69">
        <f t="shared" si="41"/>
        <v>828</v>
      </c>
      <c r="AL24" s="69">
        <f t="shared" si="42"/>
        <v>1012</v>
      </c>
      <c r="AM24" s="69">
        <f t="shared" si="43"/>
        <v>1012</v>
      </c>
      <c r="AN24" s="69">
        <f t="shared" si="44"/>
        <v>1012</v>
      </c>
      <c r="AO24" s="69">
        <f t="shared" ref="AO24:AO55" si="45">IF($L$15-$L$14&gt;19,$T4,0)</f>
        <v>0</v>
      </c>
      <c r="AP24" s="69">
        <f t="shared" si="14"/>
        <v>0</v>
      </c>
      <c r="AQ24" s="69">
        <f t="shared" si="15"/>
        <v>0</v>
      </c>
      <c r="AR24" s="69">
        <f t="shared" si="16"/>
        <v>0</v>
      </c>
      <c r="AS24" s="69">
        <f t="shared" si="17"/>
        <v>0</v>
      </c>
      <c r="AT24" s="69">
        <f t="shared" si="18"/>
        <v>0</v>
      </c>
      <c r="AU24" s="69">
        <f t="shared" si="19"/>
        <v>0</v>
      </c>
      <c r="AV24" s="69" t="s">
        <v>138</v>
      </c>
      <c r="AW24" s="69"/>
      <c r="AX24" s="69"/>
      <c r="AY24" s="69"/>
      <c r="AZ24" s="69"/>
    </row>
    <row r="25" spans="1:52" ht="21.95" customHeight="1">
      <c r="A25" s="4"/>
      <c r="B25" s="5" t="s">
        <v>70</v>
      </c>
      <c r="C25" s="39"/>
      <c r="D25" s="64">
        <v>80</v>
      </c>
      <c r="E25" s="64">
        <v>45</v>
      </c>
      <c r="F25" s="10" t="s">
        <v>65</v>
      </c>
      <c r="G25" s="39"/>
      <c r="H25" s="4"/>
      <c r="I25" s="4"/>
      <c r="J25" s="4"/>
      <c r="K25" s="4"/>
      <c r="L25" s="63">
        <f>L24*L23</f>
        <v>14000</v>
      </c>
      <c r="M25" s="63">
        <f>M24*M23</f>
        <v>16000</v>
      </c>
      <c r="N25" s="4"/>
      <c r="O25" s="4"/>
      <c r="P25" s="69"/>
      <c r="Q25" s="69" t="s">
        <v>0</v>
      </c>
      <c r="R25" s="69">
        <f t="shared" si="22"/>
        <v>22</v>
      </c>
      <c r="S25" s="69">
        <f>S24</f>
        <v>1200</v>
      </c>
      <c r="T25" s="69">
        <f t="shared" ref="T25:T39" si="46">(1-$E$14)*S19</f>
        <v>1067</v>
      </c>
      <c r="U25" s="70">
        <f t="shared" si="36"/>
        <v>1003.1999999999999</v>
      </c>
      <c r="V25" s="70">
        <f t="shared" si="24"/>
        <v>22</v>
      </c>
      <c r="W25" s="69">
        <f t="shared" si="25"/>
        <v>5700</v>
      </c>
      <c r="X25" s="69">
        <f t="shared" si="37"/>
        <v>18219</v>
      </c>
      <c r="Y25" s="69"/>
      <c r="Z25" s="69"/>
      <c r="AA25" s="69">
        <f t="shared" si="26"/>
        <v>0</v>
      </c>
      <c r="AB25" s="69">
        <f t="shared" si="28"/>
        <v>0</v>
      </c>
      <c r="AC25" s="69">
        <f t="shared" si="29"/>
        <v>0</v>
      </c>
      <c r="AD25" s="69">
        <f t="shared" si="30"/>
        <v>0</v>
      </c>
      <c r="AE25" s="69">
        <f t="shared" si="32"/>
        <v>0</v>
      </c>
      <c r="AF25" s="69">
        <f t="shared" si="33"/>
        <v>0</v>
      </c>
      <c r="AG25" s="69"/>
      <c r="AH25" s="69">
        <f t="shared" si="38"/>
        <v>828</v>
      </c>
      <c r="AI25" s="69">
        <f t="shared" si="39"/>
        <v>828</v>
      </c>
      <c r="AJ25" s="69">
        <f t="shared" si="40"/>
        <v>828</v>
      </c>
      <c r="AK25" s="69">
        <f t="shared" si="41"/>
        <v>828</v>
      </c>
      <c r="AL25" s="69">
        <f t="shared" si="42"/>
        <v>828</v>
      </c>
      <c r="AM25" s="69">
        <f t="shared" si="43"/>
        <v>1012</v>
      </c>
      <c r="AN25" s="69">
        <f t="shared" si="44"/>
        <v>1012</v>
      </c>
      <c r="AO25" s="69">
        <f t="shared" si="45"/>
        <v>0</v>
      </c>
      <c r="AP25" s="69">
        <f t="shared" ref="AP25:AP55" si="47">IF($L$15-$L$14&gt;20,$T4,0)</f>
        <v>0</v>
      </c>
      <c r="AQ25" s="69">
        <f t="shared" si="15"/>
        <v>0</v>
      </c>
      <c r="AR25" s="69">
        <f t="shared" si="16"/>
        <v>0</v>
      </c>
      <c r="AS25" s="69">
        <f t="shared" si="17"/>
        <v>0</v>
      </c>
      <c r="AT25" s="69">
        <f t="shared" si="18"/>
        <v>0</v>
      </c>
      <c r="AU25" s="69">
        <f t="shared" si="19"/>
        <v>0</v>
      </c>
      <c r="AV25" s="69" t="str">
        <f t="shared" ref="AV25:AV56" si="48">Q26</f>
        <v>June</v>
      </c>
      <c r="AW25" s="69"/>
      <c r="AX25" s="69"/>
      <c r="AY25" s="69"/>
      <c r="AZ25" s="69"/>
    </row>
    <row r="26" spans="1:52" ht="21.95" customHeight="1" thickBot="1">
      <c r="A26" s="4"/>
      <c r="B26" s="5" t="s">
        <v>71</v>
      </c>
      <c r="C26" s="39"/>
      <c r="D26" s="64">
        <v>100</v>
      </c>
      <c r="E26" s="64">
        <v>50</v>
      </c>
      <c r="F26" s="10" t="s">
        <v>65</v>
      </c>
      <c r="G26" s="39"/>
      <c r="H26" s="4"/>
      <c r="I26" s="4"/>
      <c r="J26" s="11" t="s">
        <v>80</v>
      </c>
      <c r="K26" s="7"/>
      <c r="L26" s="101" t="s">
        <v>121</v>
      </c>
      <c r="M26" s="101" t="s">
        <v>122</v>
      </c>
      <c r="N26" s="4"/>
      <c r="O26" s="4"/>
      <c r="P26" s="69"/>
      <c r="Q26" s="69" t="s">
        <v>0</v>
      </c>
      <c r="R26" s="69">
        <f t="shared" si="22"/>
        <v>23</v>
      </c>
      <c r="S26" s="69">
        <f t="shared" ref="S26:S39" si="49">S25</f>
        <v>1200</v>
      </c>
      <c r="T26" s="69">
        <f t="shared" si="46"/>
        <v>1067</v>
      </c>
      <c r="U26" s="70">
        <f t="shared" si="36"/>
        <v>1003.1999999999999</v>
      </c>
      <c r="V26" s="70">
        <f t="shared" si="24"/>
        <v>23</v>
      </c>
      <c r="W26" s="69">
        <f t="shared" si="25"/>
        <v>5800</v>
      </c>
      <c r="X26" s="69">
        <f t="shared" si="37"/>
        <v>18274</v>
      </c>
      <c r="Y26" s="69"/>
      <c r="Z26" s="69"/>
      <c r="AA26" s="69">
        <f t="shared" si="26"/>
        <v>0</v>
      </c>
      <c r="AB26" s="69">
        <f t="shared" si="28"/>
        <v>0</v>
      </c>
      <c r="AC26" s="69">
        <f t="shared" si="29"/>
        <v>0</v>
      </c>
      <c r="AD26" s="69">
        <f t="shared" si="30"/>
        <v>0</v>
      </c>
      <c r="AE26" s="69">
        <f t="shared" si="32"/>
        <v>0</v>
      </c>
      <c r="AF26" s="69">
        <f t="shared" si="33"/>
        <v>0</v>
      </c>
      <c r="AG26" s="69"/>
      <c r="AH26" s="69">
        <f t="shared" si="38"/>
        <v>828</v>
      </c>
      <c r="AI26" s="69">
        <f t="shared" si="39"/>
        <v>828</v>
      </c>
      <c r="AJ26" s="69">
        <f t="shared" si="40"/>
        <v>828</v>
      </c>
      <c r="AK26" s="69">
        <f t="shared" si="41"/>
        <v>828</v>
      </c>
      <c r="AL26" s="69">
        <f t="shared" si="42"/>
        <v>828</v>
      </c>
      <c r="AM26" s="69">
        <f t="shared" si="43"/>
        <v>828</v>
      </c>
      <c r="AN26" s="69">
        <f t="shared" si="44"/>
        <v>1012</v>
      </c>
      <c r="AO26" s="69">
        <f t="shared" si="45"/>
        <v>0</v>
      </c>
      <c r="AP26" s="69">
        <f t="shared" si="47"/>
        <v>0</v>
      </c>
      <c r="AQ26" s="69">
        <f t="shared" ref="AQ26:AQ55" si="50">IF($L$15-$L$14&gt;21,$T4,0)</f>
        <v>0</v>
      </c>
      <c r="AR26" s="69">
        <f t="shared" si="16"/>
        <v>0</v>
      </c>
      <c r="AS26" s="69">
        <f t="shared" si="17"/>
        <v>0</v>
      </c>
      <c r="AT26" s="69">
        <f t="shared" si="18"/>
        <v>0</v>
      </c>
      <c r="AU26" s="69">
        <f t="shared" si="19"/>
        <v>0</v>
      </c>
      <c r="AV26" s="69" t="str">
        <f t="shared" si="48"/>
        <v>June</v>
      </c>
      <c r="AW26" s="69"/>
      <c r="AX26" s="69"/>
      <c r="AY26" s="69"/>
      <c r="AZ26" s="69"/>
    </row>
    <row r="27" spans="1:52" ht="21.95" customHeight="1">
      <c r="A27" s="4"/>
      <c r="B27" s="5" t="s">
        <v>126</v>
      </c>
      <c r="C27" s="4"/>
      <c r="D27" s="31">
        <v>13</v>
      </c>
      <c r="E27" s="31">
        <v>21</v>
      </c>
      <c r="F27" s="4"/>
      <c r="G27" s="39"/>
      <c r="H27" s="4"/>
      <c r="I27" s="4"/>
      <c r="J27" s="5" t="s">
        <v>81</v>
      </c>
      <c r="K27" s="4"/>
      <c r="L27" s="102">
        <v>5.8500000000000003E-2</v>
      </c>
      <c r="M27" s="103">
        <v>5.8500000000000003E-2</v>
      </c>
      <c r="N27" s="10" t="s">
        <v>84</v>
      </c>
      <c r="O27" s="4"/>
      <c r="P27" s="69"/>
      <c r="Q27" s="69" t="s">
        <v>0</v>
      </c>
      <c r="R27" s="69">
        <f t="shared" si="22"/>
        <v>24</v>
      </c>
      <c r="S27" s="69">
        <f t="shared" si="49"/>
        <v>1200</v>
      </c>
      <c r="T27" s="69">
        <f t="shared" si="46"/>
        <v>1067</v>
      </c>
      <c r="U27" s="70">
        <f t="shared" si="36"/>
        <v>1003.1999999999999</v>
      </c>
      <c r="V27" s="70">
        <f t="shared" si="24"/>
        <v>24</v>
      </c>
      <c r="W27" s="69">
        <f t="shared" si="25"/>
        <v>5900</v>
      </c>
      <c r="X27" s="69">
        <f t="shared" si="37"/>
        <v>18329</v>
      </c>
      <c r="Y27" s="69"/>
      <c r="Z27" s="69"/>
      <c r="AA27" s="69">
        <f t="shared" si="26"/>
        <v>0</v>
      </c>
      <c r="AB27" s="69">
        <f t="shared" si="28"/>
        <v>0</v>
      </c>
      <c r="AC27" s="69">
        <f t="shared" si="29"/>
        <v>0</v>
      </c>
      <c r="AD27" s="69">
        <f t="shared" si="30"/>
        <v>0</v>
      </c>
      <c r="AE27" s="69">
        <f t="shared" si="32"/>
        <v>0</v>
      </c>
      <c r="AF27" s="69">
        <f t="shared" si="33"/>
        <v>0</v>
      </c>
      <c r="AG27" s="69"/>
      <c r="AH27" s="69">
        <f t="shared" si="38"/>
        <v>828</v>
      </c>
      <c r="AI27" s="69">
        <f t="shared" si="39"/>
        <v>828</v>
      </c>
      <c r="AJ27" s="69">
        <f t="shared" si="40"/>
        <v>828</v>
      </c>
      <c r="AK27" s="69">
        <f t="shared" si="41"/>
        <v>828</v>
      </c>
      <c r="AL27" s="69">
        <f t="shared" si="42"/>
        <v>828</v>
      </c>
      <c r="AM27" s="69">
        <f t="shared" si="43"/>
        <v>828</v>
      </c>
      <c r="AN27" s="69">
        <f t="shared" si="44"/>
        <v>828</v>
      </c>
      <c r="AO27" s="69">
        <f t="shared" si="45"/>
        <v>0</v>
      </c>
      <c r="AP27" s="69">
        <f t="shared" si="47"/>
        <v>0</v>
      </c>
      <c r="AQ27" s="69">
        <f t="shared" si="50"/>
        <v>0</v>
      </c>
      <c r="AR27" s="69">
        <f t="shared" ref="AR27:AR55" si="51">IF($L$15-$L$14&gt;22,$T4,0)</f>
        <v>0</v>
      </c>
      <c r="AS27" s="69">
        <f t="shared" si="17"/>
        <v>0</v>
      </c>
      <c r="AT27" s="69">
        <f t="shared" si="18"/>
        <v>0</v>
      </c>
      <c r="AU27" s="69">
        <f t="shared" si="19"/>
        <v>0</v>
      </c>
      <c r="AV27" s="69" t="str">
        <f t="shared" si="48"/>
        <v>June</v>
      </c>
      <c r="AW27" s="69"/>
      <c r="AX27" s="69"/>
      <c r="AY27" s="69"/>
      <c r="AZ27" s="69"/>
    </row>
    <row r="28" spans="1:52" ht="21.95" customHeight="1">
      <c r="A28" s="4"/>
      <c r="B28" s="5" t="s">
        <v>128</v>
      </c>
      <c r="C28" s="4"/>
      <c r="D28" s="31">
        <v>4000</v>
      </c>
      <c r="E28" s="31">
        <v>20000</v>
      </c>
      <c r="F28" s="4"/>
      <c r="G28" s="4"/>
      <c r="H28" s="4"/>
      <c r="I28" s="4"/>
      <c r="J28" s="5" t="s">
        <v>82</v>
      </c>
      <c r="K28" s="4"/>
      <c r="L28" s="104">
        <v>-7.1999999999999995E-2</v>
      </c>
      <c r="M28" s="105">
        <v>-7.1999999999999995E-2</v>
      </c>
      <c r="N28" s="10" t="s">
        <v>84</v>
      </c>
      <c r="O28" s="4"/>
      <c r="P28" s="69"/>
      <c r="Q28" s="69" t="s">
        <v>0</v>
      </c>
      <c r="R28" s="69">
        <f t="shared" si="22"/>
        <v>25</v>
      </c>
      <c r="S28" s="69">
        <f t="shared" si="49"/>
        <v>1200</v>
      </c>
      <c r="T28" s="69">
        <f t="shared" si="46"/>
        <v>1067</v>
      </c>
      <c r="U28" s="70">
        <f>(1-$E$14)*T52</f>
        <v>1024.32</v>
      </c>
      <c r="V28" s="70">
        <f t="shared" si="24"/>
        <v>25</v>
      </c>
      <c r="W28" s="69">
        <f t="shared" si="25"/>
        <v>6000</v>
      </c>
      <c r="X28" s="69">
        <f t="shared" si="37"/>
        <v>18568</v>
      </c>
      <c r="Y28" s="69"/>
      <c r="Z28" s="69"/>
      <c r="AA28" s="69">
        <f t="shared" si="26"/>
        <v>0</v>
      </c>
      <c r="AB28" s="69">
        <f t="shared" si="28"/>
        <v>0</v>
      </c>
      <c r="AC28" s="69">
        <f t="shared" si="29"/>
        <v>0</v>
      </c>
      <c r="AD28" s="69">
        <f t="shared" si="30"/>
        <v>0</v>
      </c>
      <c r="AE28" s="69">
        <f t="shared" si="32"/>
        <v>0</v>
      </c>
      <c r="AF28" s="69">
        <f t="shared" si="33"/>
        <v>0</v>
      </c>
      <c r="AG28" s="69"/>
      <c r="AH28" s="69">
        <f t="shared" si="38"/>
        <v>855</v>
      </c>
      <c r="AI28" s="69">
        <f t="shared" si="39"/>
        <v>828</v>
      </c>
      <c r="AJ28" s="69">
        <f t="shared" si="40"/>
        <v>828</v>
      </c>
      <c r="AK28" s="69">
        <f t="shared" si="41"/>
        <v>828</v>
      </c>
      <c r="AL28" s="69">
        <f t="shared" si="42"/>
        <v>828</v>
      </c>
      <c r="AM28" s="69">
        <f t="shared" si="43"/>
        <v>828</v>
      </c>
      <c r="AN28" s="69">
        <f t="shared" si="44"/>
        <v>828</v>
      </c>
      <c r="AO28" s="69">
        <f t="shared" si="45"/>
        <v>0</v>
      </c>
      <c r="AP28" s="69">
        <f t="shared" si="47"/>
        <v>0</v>
      </c>
      <c r="AQ28" s="69">
        <f t="shared" si="50"/>
        <v>0</v>
      </c>
      <c r="AR28" s="69">
        <f t="shared" si="51"/>
        <v>0</v>
      </c>
      <c r="AS28" s="69">
        <f t="shared" ref="AS28:AS55" si="52">IF($L$15-$L$14&gt;23,$T4,0)</f>
        <v>0</v>
      </c>
      <c r="AT28" s="69">
        <f t="shared" si="18"/>
        <v>0</v>
      </c>
      <c r="AU28" s="69">
        <f t="shared" si="19"/>
        <v>0</v>
      </c>
      <c r="AV28" s="69" t="s">
        <v>139</v>
      </c>
      <c r="AW28" s="69"/>
      <c r="AX28" s="69"/>
      <c r="AY28" s="69"/>
      <c r="AZ28" s="69"/>
    </row>
    <row r="29" spans="1:52" ht="21.95" customHeight="1">
      <c r="A29" s="4"/>
      <c r="B29" s="5" t="s">
        <v>148</v>
      </c>
      <c r="C29" s="4"/>
      <c r="D29" s="47">
        <f>D28/G10</f>
        <v>1.7692307692307692</v>
      </c>
      <c r="E29" s="47">
        <f>E28/G10</f>
        <v>8.8461538461538449</v>
      </c>
      <c r="F29" s="4"/>
      <c r="G29" s="4"/>
      <c r="H29" s="4"/>
      <c r="I29" s="4"/>
      <c r="J29" s="5" t="s">
        <v>83</v>
      </c>
      <c r="K29" s="4"/>
      <c r="L29" s="104">
        <v>1.4E-2</v>
      </c>
      <c r="M29" s="105">
        <v>1.4E-2</v>
      </c>
      <c r="N29" s="10" t="s">
        <v>84</v>
      </c>
      <c r="O29" s="4"/>
      <c r="P29" s="69"/>
      <c r="Q29" s="69" t="s">
        <v>20</v>
      </c>
      <c r="R29" s="69">
        <f t="shared" si="22"/>
        <v>26</v>
      </c>
      <c r="S29" s="69">
        <f t="shared" si="49"/>
        <v>1200</v>
      </c>
      <c r="T29" s="69">
        <f t="shared" si="46"/>
        <v>1067</v>
      </c>
      <c r="U29" s="70">
        <f t="shared" ref="U29:U31" si="53">(1-$E$14)*T53</f>
        <v>1024.32</v>
      </c>
      <c r="V29" s="70">
        <f t="shared" si="24"/>
        <v>26</v>
      </c>
      <c r="W29" s="69">
        <f t="shared" si="25"/>
        <v>6000</v>
      </c>
      <c r="X29" s="69">
        <f t="shared" si="37"/>
        <v>18807</v>
      </c>
      <c r="Y29" s="69"/>
      <c r="Z29" s="69"/>
      <c r="AA29" s="69">
        <f t="shared" si="26"/>
        <v>0</v>
      </c>
      <c r="AB29" s="69">
        <f t="shared" si="28"/>
        <v>0</v>
      </c>
      <c r="AC29" s="69">
        <f t="shared" si="29"/>
        <v>0</v>
      </c>
      <c r="AD29" s="69">
        <f t="shared" si="30"/>
        <v>0</v>
      </c>
      <c r="AE29" s="69">
        <f t="shared" si="32"/>
        <v>0</v>
      </c>
      <c r="AF29" s="69">
        <f t="shared" si="33"/>
        <v>0</v>
      </c>
      <c r="AG29" s="69"/>
      <c r="AH29" s="69">
        <f t="shared" si="38"/>
        <v>855</v>
      </c>
      <c r="AI29" s="69">
        <f t="shared" si="39"/>
        <v>855</v>
      </c>
      <c r="AJ29" s="69">
        <f t="shared" si="40"/>
        <v>828</v>
      </c>
      <c r="AK29" s="69">
        <f t="shared" si="41"/>
        <v>828</v>
      </c>
      <c r="AL29" s="69">
        <f t="shared" si="42"/>
        <v>828</v>
      </c>
      <c r="AM29" s="69">
        <f t="shared" si="43"/>
        <v>828</v>
      </c>
      <c r="AN29" s="69">
        <f t="shared" si="44"/>
        <v>828</v>
      </c>
      <c r="AO29" s="69">
        <f t="shared" si="45"/>
        <v>0</v>
      </c>
      <c r="AP29" s="69">
        <f t="shared" si="47"/>
        <v>0</v>
      </c>
      <c r="AQ29" s="69">
        <f t="shared" si="50"/>
        <v>0</v>
      </c>
      <c r="AR29" s="69">
        <f t="shared" si="51"/>
        <v>0</v>
      </c>
      <c r="AS29" s="69">
        <f t="shared" si="52"/>
        <v>0</v>
      </c>
      <c r="AT29" s="69">
        <f t="shared" ref="AT29:AT55" si="54">IF($L$15-$L$14&gt;24,$T4,0)</f>
        <v>0</v>
      </c>
      <c r="AU29" s="69">
        <f t="shared" si="19"/>
        <v>0</v>
      </c>
      <c r="AV29" s="69" t="s">
        <v>140</v>
      </c>
      <c r="AW29" s="69"/>
      <c r="AX29" s="69"/>
      <c r="AY29" s="69"/>
      <c r="AZ29" s="69"/>
    </row>
    <row r="30" spans="1:52" ht="21.9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116">
        <f>IF(M29&gt;H14,0.1*M29,M29)</f>
        <v>1.4E-2</v>
      </c>
      <c r="N30" s="116">
        <f>IF(M29&gt;H15,0.1*M29,M29)</f>
        <v>1.4E-2</v>
      </c>
      <c r="O30" s="32"/>
      <c r="P30" s="69"/>
      <c r="Q30" s="69" t="s">
        <v>20</v>
      </c>
      <c r="R30" s="69">
        <f t="shared" si="22"/>
        <v>27</v>
      </c>
      <c r="S30" s="69">
        <f t="shared" si="49"/>
        <v>1200</v>
      </c>
      <c r="T30" s="69">
        <f t="shared" si="46"/>
        <v>1164</v>
      </c>
      <c r="U30" s="70">
        <f t="shared" si="53"/>
        <v>981.64</v>
      </c>
      <c r="V30" s="70">
        <f t="shared" si="24"/>
        <v>27</v>
      </c>
      <c r="W30" s="69">
        <f t="shared" si="25"/>
        <v>6000</v>
      </c>
      <c r="X30" s="69">
        <f t="shared" si="37"/>
        <v>19143</v>
      </c>
      <c r="Y30" s="69"/>
      <c r="Z30" s="69"/>
      <c r="AA30" s="69">
        <f t="shared" si="26"/>
        <v>0</v>
      </c>
      <c r="AB30" s="69">
        <f t="shared" si="28"/>
        <v>0</v>
      </c>
      <c r="AC30" s="69">
        <f t="shared" si="29"/>
        <v>0</v>
      </c>
      <c r="AD30" s="69">
        <f t="shared" si="30"/>
        <v>0</v>
      </c>
      <c r="AE30" s="69">
        <f t="shared" si="32"/>
        <v>0</v>
      </c>
      <c r="AF30" s="69">
        <f t="shared" si="33"/>
        <v>0</v>
      </c>
      <c r="AG30" s="69"/>
      <c r="AH30" s="69">
        <f t="shared" si="38"/>
        <v>855</v>
      </c>
      <c r="AI30" s="69">
        <f t="shared" si="39"/>
        <v>855</v>
      </c>
      <c r="AJ30" s="69">
        <f t="shared" si="40"/>
        <v>855</v>
      </c>
      <c r="AK30" s="69">
        <f t="shared" si="41"/>
        <v>828</v>
      </c>
      <c r="AL30" s="69">
        <f t="shared" si="42"/>
        <v>828</v>
      </c>
      <c r="AM30" s="69">
        <f t="shared" si="43"/>
        <v>828</v>
      </c>
      <c r="AN30" s="69">
        <f t="shared" si="44"/>
        <v>828</v>
      </c>
      <c r="AO30" s="69">
        <f t="shared" si="45"/>
        <v>0</v>
      </c>
      <c r="AP30" s="69">
        <f t="shared" si="47"/>
        <v>0</v>
      </c>
      <c r="AQ30" s="69">
        <f t="shared" si="50"/>
        <v>0</v>
      </c>
      <c r="AR30" s="69">
        <f t="shared" si="51"/>
        <v>0</v>
      </c>
      <c r="AS30" s="69">
        <f t="shared" si="52"/>
        <v>0</v>
      </c>
      <c r="AT30" s="69">
        <f t="shared" si="54"/>
        <v>0</v>
      </c>
      <c r="AU30" s="69">
        <f t="shared" ref="AU30:AU55" si="55">IF($L$15-$L$14&gt;25,$T4,0)</f>
        <v>0</v>
      </c>
      <c r="AV30" s="69" t="s">
        <v>140</v>
      </c>
      <c r="AW30" s="69"/>
      <c r="AX30" s="69"/>
      <c r="AY30" s="69"/>
      <c r="AZ30" s="69"/>
    </row>
    <row r="31" spans="1:52" ht="21.95" customHeight="1">
      <c r="A31" s="110"/>
      <c r="B31" s="111" t="s">
        <v>119</v>
      </c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5"/>
      <c r="N31" s="115"/>
      <c r="O31" s="113"/>
      <c r="P31" s="69"/>
      <c r="Q31" s="69" t="s">
        <v>20</v>
      </c>
      <c r="R31" s="69">
        <f t="shared" si="22"/>
        <v>28</v>
      </c>
      <c r="S31" s="69">
        <f t="shared" si="49"/>
        <v>1200</v>
      </c>
      <c r="T31" s="69">
        <f t="shared" si="46"/>
        <v>1164</v>
      </c>
      <c r="U31" s="70">
        <f t="shared" si="53"/>
        <v>981.64</v>
      </c>
      <c r="V31" s="70">
        <f t="shared" si="24"/>
        <v>28</v>
      </c>
      <c r="W31" s="69">
        <f t="shared" si="25"/>
        <v>6000</v>
      </c>
      <c r="X31" s="69">
        <f t="shared" si="37"/>
        <v>19479</v>
      </c>
      <c r="Y31" s="69"/>
      <c r="Z31" s="69"/>
      <c r="AA31" s="69">
        <f t="shared" si="26"/>
        <v>0</v>
      </c>
      <c r="AB31" s="69">
        <f t="shared" si="28"/>
        <v>0</v>
      </c>
      <c r="AC31" s="69">
        <f t="shared" si="29"/>
        <v>0</v>
      </c>
      <c r="AD31" s="69">
        <f t="shared" si="30"/>
        <v>0</v>
      </c>
      <c r="AE31" s="69">
        <f t="shared" si="32"/>
        <v>0</v>
      </c>
      <c r="AF31" s="69">
        <f t="shared" si="33"/>
        <v>0</v>
      </c>
      <c r="AG31" s="69"/>
      <c r="AH31" s="69">
        <f t="shared" si="38"/>
        <v>855</v>
      </c>
      <c r="AI31" s="69">
        <f t="shared" si="39"/>
        <v>855</v>
      </c>
      <c r="AJ31" s="69">
        <f t="shared" si="40"/>
        <v>855</v>
      </c>
      <c r="AK31" s="69">
        <f t="shared" si="41"/>
        <v>855</v>
      </c>
      <c r="AL31" s="69">
        <f t="shared" si="42"/>
        <v>828</v>
      </c>
      <c r="AM31" s="69">
        <f t="shared" si="43"/>
        <v>828</v>
      </c>
      <c r="AN31" s="69">
        <f t="shared" si="44"/>
        <v>828</v>
      </c>
      <c r="AO31" s="69">
        <f t="shared" si="45"/>
        <v>0</v>
      </c>
      <c r="AP31" s="69">
        <f t="shared" si="47"/>
        <v>0</v>
      </c>
      <c r="AQ31" s="69">
        <f t="shared" si="50"/>
        <v>0</v>
      </c>
      <c r="AR31" s="69">
        <f t="shared" si="51"/>
        <v>0</v>
      </c>
      <c r="AS31" s="69">
        <f t="shared" si="52"/>
        <v>0</v>
      </c>
      <c r="AT31" s="69">
        <f t="shared" si="54"/>
        <v>0</v>
      </c>
      <c r="AU31" s="69">
        <f t="shared" si="55"/>
        <v>0</v>
      </c>
      <c r="AV31" s="69" t="s">
        <v>140</v>
      </c>
      <c r="AW31" s="69"/>
      <c r="AX31" s="69"/>
      <c r="AY31" s="69"/>
      <c r="AZ31" s="69"/>
    </row>
    <row r="32" spans="1:52" ht="21.95" customHeight="1" thickBot="1">
      <c r="A32" s="4"/>
      <c r="B32" s="11" t="s">
        <v>116</v>
      </c>
      <c r="C32" s="7"/>
      <c r="D32" s="7"/>
      <c r="E32" s="7"/>
      <c r="F32" s="7"/>
      <c r="G32" s="7"/>
      <c r="H32" s="4"/>
      <c r="I32" s="4"/>
      <c r="J32" s="4"/>
      <c r="K32" s="4"/>
      <c r="L32" s="4"/>
      <c r="M32" s="4"/>
      <c r="N32" s="32"/>
      <c r="O32" s="32"/>
      <c r="P32" s="69"/>
      <c r="Q32" s="69" t="s">
        <v>20</v>
      </c>
      <c r="R32" s="69">
        <f t="shared" si="22"/>
        <v>29</v>
      </c>
      <c r="S32" s="69">
        <f t="shared" si="49"/>
        <v>1200</v>
      </c>
      <c r="T32" s="69">
        <f t="shared" si="46"/>
        <v>1164</v>
      </c>
      <c r="U32" s="70">
        <f>(1-$E$14)*T4</f>
        <v>981.64</v>
      </c>
      <c r="V32" s="70">
        <f t="shared" si="24"/>
        <v>29</v>
      </c>
      <c r="W32" s="69">
        <f t="shared" si="25"/>
        <v>6000</v>
      </c>
      <c r="X32" s="69">
        <f t="shared" si="37"/>
        <v>19815</v>
      </c>
      <c r="Y32" s="69"/>
      <c r="Z32" s="69"/>
      <c r="AA32" s="69">
        <f t="shared" si="26"/>
        <v>0</v>
      </c>
      <c r="AB32" s="69">
        <f t="shared" si="28"/>
        <v>0</v>
      </c>
      <c r="AC32" s="69">
        <f t="shared" si="29"/>
        <v>0</v>
      </c>
      <c r="AD32" s="69">
        <f t="shared" si="30"/>
        <v>0</v>
      </c>
      <c r="AE32" s="69">
        <f t="shared" si="32"/>
        <v>0</v>
      </c>
      <c r="AF32" s="69">
        <f t="shared" si="33"/>
        <v>0</v>
      </c>
      <c r="AG32" s="69"/>
      <c r="AH32" s="69">
        <f t="shared" si="38"/>
        <v>855</v>
      </c>
      <c r="AI32" s="69">
        <f t="shared" si="39"/>
        <v>855</v>
      </c>
      <c r="AJ32" s="69">
        <f t="shared" si="40"/>
        <v>855</v>
      </c>
      <c r="AK32" s="69">
        <f t="shared" si="41"/>
        <v>855</v>
      </c>
      <c r="AL32" s="69">
        <f t="shared" si="42"/>
        <v>855</v>
      </c>
      <c r="AM32" s="69">
        <f t="shared" si="43"/>
        <v>828</v>
      </c>
      <c r="AN32" s="69">
        <f t="shared" si="44"/>
        <v>828</v>
      </c>
      <c r="AO32" s="69">
        <f t="shared" si="45"/>
        <v>0</v>
      </c>
      <c r="AP32" s="69">
        <f t="shared" si="47"/>
        <v>0</v>
      </c>
      <c r="AQ32" s="69">
        <f t="shared" si="50"/>
        <v>0</v>
      </c>
      <c r="AR32" s="69">
        <f t="shared" si="51"/>
        <v>0</v>
      </c>
      <c r="AS32" s="69">
        <f t="shared" si="52"/>
        <v>0</v>
      </c>
      <c r="AT32" s="69">
        <f t="shared" si="54"/>
        <v>0</v>
      </c>
      <c r="AU32" s="69">
        <f t="shared" si="55"/>
        <v>0</v>
      </c>
      <c r="AV32" s="69" t="s">
        <v>140</v>
      </c>
      <c r="AW32" s="69"/>
      <c r="AX32" s="69"/>
      <c r="AY32" s="69"/>
      <c r="AZ32" s="69"/>
    </row>
    <row r="33" spans="1:52" ht="21.95" customHeight="1">
      <c r="A33" s="4"/>
      <c r="B33" s="50"/>
      <c r="C33" s="51"/>
      <c r="D33" s="92" t="s">
        <v>54</v>
      </c>
      <c r="E33" s="93">
        <f>MIN(W4:W55)</f>
        <v>4500</v>
      </c>
      <c r="F33" s="94" t="s">
        <v>53</v>
      </c>
      <c r="G33" s="95">
        <f>MAX(W4:W55)</f>
        <v>6000</v>
      </c>
      <c r="H33" s="4"/>
      <c r="I33" s="4"/>
      <c r="J33" s="4"/>
      <c r="K33" s="4"/>
      <c r="L33" s="4"/>
      <c r="M33" s="4"/>
      <c r="N33" s="32"/>
      <c r="O33" s="32"/>
      <c r="P33" s="69"/>
      <c r="Q33" s="69" t="s">
        <v>42</v>
      </c>
      <c r="R33" s="69">
        <f t="shared" si="22"/>
        <v>30</v>
      </c>
      <c r="S33" s="69">
        <f t="shared" si="49"/>
        <v>1200</v>
      </c>
      <c r="T33" s="69">
        <f t="shared" si="46"/>
        <v>1164</v>
      </c>
      <c r="U33" s="70">
        <f t="shared" ref="U33:U40" si="56">(1-$E$14)*T5</f>
        <v>981.64</v>
      </c>
      <c r="V33" s="70">
        <f t="shared" si="24"/>
        <v>30</v>
      </c>
      <c r="W33" s="69">
        <f t="shared" si="25"/>
        <v>6000</v>
      </c>
      <c r="X33" s="69">
        <f t="shared" si="37"/>
        <v>20151</v>
      </c>
      <c r="Y33" s="69"/>
      <c r="Z33" s="69"/>
      <c r="AA33" s="69">
        <f t="shared" si="26"/>
        <v>0</v>
      </c>
      <c r="AB33" s="69">
        <f t="shared" si="28"/>
        <v>0</v>
      </c>
      <c r="AC33" s="69">
        <f t="shared" si="29"/>
        <v>0</v>
      </c>
      <c r="AD33" s="69">
        <f t="shared" si="30"/>
        <v>0</v>
      </c>
      <c r="AE33" s="69">
        <f t="shared" si="32"/>
        <v>0</v>
      </c>
      <c r="AF33" s="69">
        <f t="shared" si="33"/>
        <v>0</v>
      </c>
      <c r="AG33" s="69"/>
      <c r="AH33" s="69">
        <f t="shared" si="38"/>
        <v>855</v>
      </c>
      <c r="AI33" s="69">
        <f t="shared" si="39"/>
        <v>855</v>
      </c>
      <c r="AJ33" s="69">
        <f t="shared" si="40"/>
        <v>855</v>
      </c>
      <c r="AK33" s="69">
        <f t="shared" si="41"/>
        <v>855</v>
      </c>
      <c r="AL33" s="69">
        <f t="shared" si="42"/>
        <v>855</v>
      </c>
      <c r="AM33" s="69">
        <f t="shared" si="43"/>
        <v>855</v>
      </c>
      <c r="AN33" s="69">
        <f t="shared" si="44"/>
        <v>828</v>
      </c>
      <c r="AO33" s="69">
        <f t="shared" si="45"/>
        <v>0</v>
      </c>
      <c r="AP33" s="69">
        <f t="shared" si="47"/>
        <v>0</v>
      </c>
      <c r="AQ33" s="69">
        <f t="shared" si="50"/>
        <v>0</v>
      </c>
      <c r="AR33" s="69">
        <f t="shared" si="51"/>
        <v>0</v>
      </c>
      <c r="AS33" s="69">
        <f t="shared" si="52"/>
        <v>0</v>
      </c>
      <c r="AT33" s="69">
        <f t="shared" si="54"/>
        <v>0</v>
      </c>
      <c r="AU33" s="69">
        <f t="shared" si="55"/>
        <v>0</v>
      </c>
      <c r="AV33" s="69" t="s">
        <v>141</v>
      </c>
      <c r="AW33" s="69"/>
      <c r="AX33" s="69"/>
      <c r="AY33" s="69"/>
      <c r="AZ33" s="69"/>
    </row>
    <row r="34" spans="1:52" ht="21.95" customHeight="1" thickBot="1">
      <c r="A34" s="4"/>
      <c r="B34" s="56"/>
      <c r="C34" s="57"/>
      <c r="D34" s="96" t="s">
        <v>55</v>
      </c>
      <c r="E34" s="97">
        <f>MIN(X4:X55)</f>
        <v>18043</v>
      </c>
      <c r="F34" s="98" t="s">
        <v>53</v>
      </c>
      <c r="G34" s="99">
        <f>MAX(X4:X55)</f>
        <v>22820</v>
      </c>
      <c r="H34" s="4"/>
      <c r="I34" s="4"/>
      <c r="J34" s="4"/>
      <c r="K34" s="4"/>
      <c r="L34" s="4"/>
      <c r="M34" s="4"/>
      <c r="N34" s="32"/>
      <c r="O34" s="32"/>
      <c r="P34" s="69"/>
      <c r="Q34" s="69" t="s">
        <v>42</v>
      </c>
      <c r="R34" s="69">
        <f t="shared" si="22"/>
        <v>31</v>
      </c>
      <c r="S34" s="69">
        <f t="shared" si="49"/>
        <v>1200</v>
      </c>
      <c r="T34" s="69">
        <f t="shared" si="46"/>
        <v>1164</v>
      </c>
      <c r="U34" s="70">
        <f t="shared" si="56"/>
        <v>981.64</v>
      </c>
      <c r="V34" s="70">
        <f t="shared" si="24"/>
        <v>31</v>
      </c>
      <c r="W34" s="69">
        <f t="shared" si="25"/>
        <v>6000</v>
      </c>
      <c r="X34" s="69">
        <f t="shared" si="37"/>
        <v>20487</v>
      </c>
      <c r="Y34" s="69"/>
      <c r="Z34" s="69"/>
      <c r="AA34" s="69">
        <f t="shared" si="26"/>
        <v>0</v>
      </c>
      <c r="AB34" s="69">
        <f t="shared" si="28"/>
        <v>0</v>
      </c>
      <c r="AC34" s="69">
        <f t="shared" si="29"/>
        <v>0</v>
      </c>
      <c r="AD34" s="69">
        <f t="shared" si="30"/>
        <v>0</v>
      </c>
      <c r="AE34" s="69">
        <f t="shared" si="32"/>
        <v>0</v>
      </c>
      <c r="AF34" s="69">
        <f t="shared" si="33"/>
        <v>0</v>
      </c>
      <c r="AG34" s="69"/>
      <c r="AH34" s="69">
        <f t="shared" si="38"/>
        <v>1045</v>
      </c>
      <c r="AI34" s="69">
        <f t="shared" si="39"/>
        <v>855</v>
      </c>
      <c r="AJ34" s="69">
        <f t="shared" si="40"/>
        <v>855</v>
      </c>
      <c r="AK34" s="69">
        <f t="shared" si="41"/>
        <v>855</v>
      </c>
      <c r="AL34" s="69">
        <f t="shared" si="42"/>
        <v>855</v>
      </c>
      <c r="AM34" s="69">
        <f t="shared" si="43"/>
        <v>855</v>
      </c>
      <c r="AN34" s="69">
        <f t="shared" si="44"/>
        <v>855</v>
      </c>
      <c r="AO34" s="69">
        <f t="shared" si="45"/>
        <v>0</v>
      </c>
      <c r="AP34" s="69">
        <f t="shared" si="47"/>
        <v>0</v>
      </c>
      <c r="AQ34" s="69">
        <f t="shared" si="50"/>
        <v>0</v>
      </c>
      <c r="AR34" s="69">
        <f t="shared" si="51"/>
        <v>0</v>
      </c>
      <c r="AS34" s="69">
        <f t="shared" si="52"/>
        <v>0</v>
      </c>
      <c r="AT34" s="69">
        <f t="shared" si="54"/>
        <v>0</v>
      </c>
      <c r="AU34" s="69">
        <f t="shared" si="55"/>
        <v>0</v>
      </c>
      <c r="AV34" s="69" t="s">
        <v>141</v>
      </c>
      <c r="AW34" s="69"/>
      <c r="AX34" s="69"/>
      <c r="AY34" s="69"/>
      <c r="AZ34" s="69"/>
    </row>
    <row r="35" spans="1:52" ht="54" customHeight="1">
      <c r="A35" s="4"/>
      <c r="B35" s="4"/>
      <c r="C35" s="4"/>
      <c r="D35" s="4"/>
      <c r="E35" s="4"/>
      <c r="F35" s="4"/>
      <c r="G35" s="4"/>
      <c r="H35" s="39"/>
      <c r="I35" s="39"/>
      <c r="J35" s="39"/>
      <c r="K35" s="4"/>
      <c r="L35" s="4"/>
      <c r="M35" s="4"/>
      <c r="N35" s="32"/>
      <c r="O35" s="32"/>
      <c r="P35" s="69"/>
      <c r="Q35" s="69" t="s">
        <v>42</v>
      </c>
      <c r="R35" s="69">
        <f t="shared" si="22"/>
        <v>32</v>
      </c>
      <c r="S35" s="69">
        <f t="shared" si="49"/>
        <v>1200</v>
      </c>
      <c r="T35" s="69">
        <f t="shared" si="46"/>
        <v>1164</v>
      </c>
      <c r="U35" s="70">
        <f t="shared" si="56"/>
        <v>981.64</v>
      </c>
      <c r="V35" s="70">
        <f t="shared" si="24"/>
        <v>32</v>
      </c>
      <c r="W35" s="69">
        <f t="shared" si="25"/>
        <v>6000</v>
      </c>
      <c r="X35" s="69">
        <f t="shared" si="37"/>
        <v>20796</v>
      </c>
      <c r="Y35" s="69"/>
      <c r="Z35" s="69"/>
      <c r="AA35" s="69">
        <f t="shared" si="26"/>
        <v>0</v>
      </c>
      <c r="AB35" s="69">
        <f t="shared" si="28"/>
        <v>0</v>
      </c>
      <c r="AC35" s="69">
        <f t="shared" si="29"/>
        <v>0</v>
      </c>
      <c r="AD35" s="69">
        <f t="shared" si="30"/>
        <v>0</v>
      </c>
      <c r="AE35" s="69">
        <f t="shared" si="32"/>
        <v>0</v>
      </c>
      <c r="AF35" s="69">
        <f t="shared" si="33"/>
        <v>0</v>
      </c>
      <c r="AG35" s="69"/>
      <c r="AH35" s="69">
        <f t="shared" si="38"/>
        <v>1045</v>
      </c>
      <c r="AI35" s="69">
        <f t="shared" si="39"/>
        <v>1045</v>
      </c>
      <c r="AJ35" s="69">
        <f t="shared" si="40"/>
        <v>855</v>
      </c>
      <c r="AK35" s="69">
        <f t="shared" si="41"/>
        <v>855</v>
      </c>
      <c r="AL35" s="69">
        <f t="shared" si="42"/>
        <v>855</v>
      </c>
      <c r="AM35" s="69">
        <f t="shared" si="43"/>
        <v>855</v>
      </c>
      <c r="AN35" s="69">
        <f t="shared" si="44"/>
        <v>855</v>
      </c>
      <c r="AO35" s="69">
        <f t="shared" si="45"/>
        <v>0</v>
      </c>
      <c r="AP35" s="69">
        <f t="shared" si="47"/>
        <v>0</v>
      </c>
      <c r="AQ35" s="69">
        <f t="shared" si="50"/>
        <v>0</v>
      </c>
      <c r="AR35" s="69">
        <f t="shared" si="51"/>
        <v>0</v>
      </c>
      <c r="AS35" s="69">
        <f t="shared" si="52"/>
        <v>0</v>
      </c>
      <c r="AT35" s="69">
        <f t="shared" si="54"/>
        <v>0</v>
      </c>
      <c r="AU35" s="69">
        <f t="shared" si="55"/>
        <v>0</v>
      </c>
      <c r="AV35" s="69" t="s">
        <v>141</v>
      </c>
      <c r="AW35" s="69"/>
      <c r="AX35" s="69"/>
      <c r="AY35" s="69"/>
      <c r="AZ35" s="69"/>
    </row>
    <row r="36" spans="1:52" ht="27.75" customHeight="1">
      <c r="A36" s="4"/>
      <c r="B36" s="4"/>
      <c r="C36" s="4"/>
      <c r="D36" s="4"/>
      <c r="E36" s="4"/>
      <c r="F36" s="4"/>
      <c r="G36" s="4"/>
      <c r="H36" s="39"/>
      <c r="I36" s="39"/>
      <c r="J36" s="39"/>
      <c r="K36" s="4"/>
      <c r="L36" s="4"/>
      <c r="M36" s="4"/>
      <c r="N36" s="32"/>
      <c r="O36" s="32"/>
      <c r="P36" s="69"/>
      <c r="Q36" s="69" t="s">
        <v>42</v>
      </c>
      <c r="R36" s="69">
        <f t="shared" si="22"/>
        <v>33</v>
      </c>
      <c r="S36" s="69">
        <f t="shared" si="49"/>
        <v>1200</v>
      </c>
      <c r="T36" s="69">
        <f t="shared" si="46"/>
        <v>1164</v>
      </c>
      <c r="U36" s="70">
        <f t="shared" si="56"/>
        <v>803.16</v>
      </c>
      <c r="V36" s="70">
        <f t="shared" si="24"/>
        <v>33</v>
      </c>
      <c r="W36" s="69">
        <f t="shared" si="25"/>
        <v>6000</v>
      </c>
      <c r="X36" s="69">
        <f t="shared" si="37"/>
        <v>21105</v>
      </c>
      <c r="Y36" s="69"/>
      <c r="Z36" s="69"/>
      <c r="AA36" s="69">
        <f t="shared" si="26"/>
        <v>0</v>
      </c>
      <c r="AB36" s="69">
        <f t="shared" si="28"/>
        <v>0</v>
      </c>
      <c r="AC36" s="69">
        <f t="shared" si="29"/>
        <v>0</v>
      </c>
      <c r="AD36" s="69">
        <f t="shared" si="30"/>
        <v>0</v>
      </c>
      <c r="AE36" s="69">
        <f t="shared" si="32"/>
        <v>0</v>
      </c>
      <c r="AF36" s="69">
        <f t="shared" si="33"/>
        <v>0</v>
      </c>
      <c r="AG36" s="69"/>
      <c r="AH36" s="69">
        <f t="shared" si="38"/>
        <v>1045</v>
      </c>
      <c r="AI36" s="69">
        <f t="shared" si="39"/>
        <v>1045</v>
      </c>
      <c r="AJ36" s="69">
        <f t="shared" si="40"/>
        <v>1045</v>
      </c>
      <c r="AK36" s="69">
        <f t="shared" si="41"/>
        <v>855</v>
      </c>
      <c r="AL36" s="69">
        <f t="shared" si="42"/>
        <v>855</v>
      </c>
      <c r="AM36" s="69">
        <f t="shared" si="43"/>
        <v>855</v>
      </c>
      <c r="AN36" s="69">
        <f t="shared" si="44"/>
        <v>855</v>
      </c>
      <c r="AO36" s="69">
        <f t="shared" si="45"/>
        <v>0</v>
      </c>
      <c r="AP36" s="69">
        <f t="shared" si="47"/>
        <v>0</v>
      </c>
      <c r="AQ36" s="69">
        <f t="shared" si="50"/>
        <v>0</v>
      </c>
      <c r="AR36" s="69">
        <f t="shared" si="51"/>
        <v>0</v>
      </c>
      <c r="AS36" s="69">
        <f t="shared" si="52"/>
        <v>0</v>
      </c>
      <c r="AT36" s="69">
        <f t="shared" si="54"/>
        <v>0</v>
      </c>
      <c r="AU36" s="69">
        <f t="shared" si="55"/>
        <v>0</v>
      </c>
      <c r="AV36" s="69" t="s">
        <v>141</v>
      </c>
      <c r="AW36" s="69"/>
      <c r="AX36" s="69"/>
      <c r="AY36" s="69"/>
      <c r="AZ36" s="69"/>
    </row>
    <row r="37" spans="1:52" ht="21.95" customHeight="1">
      <c r="A37" s="4"/>
      <c r="B37" s="4"/>
      <c r="C37" s="4"/>
      <c r="D37" s="4"/>
      <c r="E37" s="4"/>
      <c r="F37" s="4"/>
      <c r="G37" s="4"/>
      <c r="H37" s="39"/>
      <c r="M37" s="4"/>
      <c r="N37" s="32"/>
      <c r="O37" s="32"/>
      <c r="P37" s="69"/>
      <c r="Q37" s="69" t="s">
        <v>42</v>
      </c>
      <c r="R37" s="69">
        <f t="shared" si="22"/>
        <v>34</v>
      </c>
      <c r="S37" s="69">
        <f t="shared" si="49"/>
        <v>1200</v>
      </c>
      <c r="T37" s="69">
        <f t="shared" si="46"/>
        <v>1164</v>
      </c>
      <c r="U37" s="70">
        <f t="shared" si="56"/>
        <v>803.16</v>
      </c>
      <c r="V37" s="70">
        <f t="shared" si="24"/>
        <v>34</v>
      </c>
      <c r="W37" s="69">
        <f t="shared" si="25"/>
        <v>6000</v>
      </c>
      <c r="X37" s="69">
        <f t="shared" si="37"/>
        <v>21414</v>
      </c>
      <c r="Y37" s="69"/>
      <c r="Z37" s="69"/>
      <c r="AA37" s="69">
        <f t="shared" si="26"/>
        <v>0</v>
      </c>
      <c r="AB37" s="69">
        <f t="shared" si="28"/>
        <v>0</v>
      </c>
      <c r="AC37" s="69">
        <f t="shared" si="29"/>
        <v>0</v>
      </c>
      <c r="AD37" s="69">
        <f t="shared" si="30"/>
        <v>0</v>
      </c>
      <c r="AE37" s="69">
        <f t="shared" si="32"/>
        <v>0</v>
      </c>
      <c r="AF37" s="69">
        <f t="shared" si="33"/>
        <v>0</v>
      </c>
      <c r="AG37" s="69"/>
      <c r="AH37" s="69">
        <f t="shared" si="38"/>
        <v>1067</v>
      </c>
      <c r="AI37" s="69">
        <f t="shared" si="39"/>
        <v>1045</v>
      </c>
      <c r="AJ37" s="69">
        <f t="shared" si="40"/>
        <v>1045</v>
      </c>
      <c r="AK37" s="69">
        <f t="shared" si="41"/>
        <v>1045</v>
      </c>
      <c r="AL37" s="69">
        <f t="shared" si="42"/>
        <v>855</v>
      </c>
      <c r="AM37" s="69">
        <f t="shared" si="43"/>
        <v>855</v>
      </c>
      <c r="AN37" s="69">
        <f t="shared" si="44"/>
        <v>855</v>
      </c>
      <c r="AO37" s="69">
        <f t="shared" si="45"/>
        <v>0</v>
      </c>
      <c r="AP37" s="69">
        <f t="shared" si="47"/>
        <v>0</v>
      </c>
      <c r="AQ37" s="69">
        <f t="shared" si="50"/>
        <v>0</v>
      </c>
      <c r="AR37" s="69">
        <f t="shared" si="51"/>
        <v>0</v>
      </c>
      <c r="AS37" s="69">
        <f t="shared" si="52"/>
        <v>0</v>
      </c>
      <c r="AT37" s="69">
        <f t="shared" si="54"/>
        <v>0</v>
      </c>
      <c r="AU37" s="69">
        <f t="shared" si="55"/>
        <v>0</v>
      </c>
      <c r="AV37" s="69" t="s">
        <v>142</v>
      </c>
      <c r="AW37" s="69"/>
      <c r="AX37" s="69"/>
      <c r="AY37" s="69"/>
      <c r="AZ37" s="69"/>
    </row>
    <row r="38" spans="1:52" ht="21.95" customHeight="1">
      <c r="A38" s="4"/>
      <c r="B38" s="4"/>
      <c r="C38" s="4"/>
      <c r="D38" s="4"/>
      <c r="E38" s="4"/>
      <c r="F38" s="4"/>
      <c r="G38" s="4"/>
      <c r="H38" s="39"/>
      <c r="M38" s="4"/>
      <c r="N38" s="32"/>
      <c r="O38" s="32"/>
      <c r="P38" s="69"/>
      <c r="Q38" s="69" t="s">
        <v>41</v>
      </c>
      <c r="R38" s="69">
        <f t="shared" si="22"/>
        <v>35</v>
      </c>
      <c r="S38" s="69">
        <f t="shared" si="49"/>
        <v>1200</v>
      </c>
      <c r="T38" s="69">
        <f t="shared" si="46"/>
        <v>1164</v>
      </c>
      <c r="U38" s="70">
        <f t="shared" si="56"/>
        <v>803.16</v>
      </c>
      <c r="V38" s="70">
        <f t="shared" si="24"/>
        <v>35</v>
      </c>
      <c r="W38" s="69">
        <f t="shared" si="25"/>
        <v>6000</v>
      </c>
      <c r="X38" s="69">
        <f t="shared" si="37"/>
        <v>21723</v>
      </c>
      <c r="Y38" s="69"/>
      <c r="Z38" s="69"/>
      <c r="AA38" s="69">
        <f t="shared" si="26"/>
        <v>0</v>
      </c>
      <c r="AB38" s="69">
        <f t="shared" si="28"/>
        <v>0</v>
      </c>
      <c r="AC38" s="69">
        <f t="shared" si="29"/>
        <v>0</v>
      </c>
      <c r="AD38" s="69">
        <f t="shared" si="30"/>
        <v>0</v>
      </c>
      <c r="AE38" s="69">
        <f t="shared" si="32"/>
        <v>0</v>
      </c>
      <c r="AF38" s="69">
        <f t="shared" si="33"/>
        <v>0</v>
      </c>
      <c r="AG38" s="69"/>
      <c r="AH38" s="69">
        <f t="shared" si="38"/>
        <v>1067</v>
      </c>
      <c r="AI38" s="69">
        <f t="shared" si="39"/>
        <v>1067</v>
      </c>
      <c r="AJ38" s="69">
        <f t="shared" si="40"/>
        <v>1045</v>
      </c>
      <c r="AK38" s="69">
        <f t="shared" si="41"/>
        <v>1045</v>
      </c>
      <c r="AL38" s="69">
        <f t="shared" si="42"/>
        <v>1045</v>
      </c>
      <c r="AM38" s="69">
        <f t="shared" si="43"/>
        <v>855</v>
      </c>
      <c r="AN38" s="69">
        <f t="shared" si="44"/>
        <v>855</v>
      </c>
      <c r="AO38" s="69">
        <f t="shared" si="45"/>
        <v>0</v>
      </c>
      <c r="AP38" s="69">
        <f t="shared" si="47"/>
        <v>0</v>
      </c>
      <c r="AQ38" s="69">
        <f t="shared" si="50"/>
        <v>0</v>
      </c>
      <c r="AR38" s="69">
        <f t="shared" si="51"/>
        <v>0</v>
      </c>
      <c r="AS38" s="69">
        <f t="shared" si="52"/>
        <v>0</v>
      </c>
      <c r="AT38" s="69">
        <f t="shared" si="54"/>
        <v>0</v>
      </c>
      <c r="AU38" s="69">
        <f t="shared" si="55"/>
        <v>0</v>
      </c>
      <c r="AV38" s="69" t="s">
        <v>143</v>
      </c>
      <c r="AW38" s="69"/>
      <c r="AX38" s="69"/>
      <c r="AY38" s="69"/>
      <c r="AZ38" s="69"/>
    </row>
    <row r="39" spans="1:52" ht="21.95" customHeight="1">
      <c r="A39" s="4"/>
      <c r="B39" s="4"/>
      <c r="C39" s="4"/>
      <c r="D39" s="4"/>
      <c r="E39" s="4"/>
      <c r="F39" s="4"/>
      <c r="G39" s="4"/>
      <c r="H39" s="39"/>
      <c r="M39" s="4"/>
      <c r="N39" s="32"/>
      <c r="O39" s="32"/>
      <c r="P39" s="69"/>
      <c r="Q39" s="69" t="s">
        <v>41</v>
      </c>
      <c r="R39" s="69">
        <f t="shared" si="22"/>
        <v>36</v>
      </c>
      <c r="S39" s="69">
        <f t="shared" si="49"/>
        <v>1200</v>
      </c>
      <c r="T39" s="69">
        <f t="shared" si="46"/>
        <v>1164</v>
      </c>
      <c r="U39" s="70">
        <f t="shared" si="56"/>
        <v>803.16</v>
      </c>
      <c r="V39" s="70">
        <f t="shared" si="24"/>
        <v>36</v>
      </c>
      <c r="W39" s="69">
        <f t="shared" si="25"/>
        <v>6000</v>
      </c>
      <c r="X39" s="69">
        <f t="shared" si="37"/>
        <v>22032</v>
      </c>
      <c r="Y39" s="69"/>
      <c r="Z39" s="69"/>
      <c r="AA39" s="69">
        <f t="shared" si="26"/>
        <v>0</v>
      </c>
      <c r="AB39" s="69">
        <f t="shared" si="28"/>
        <v>0</v>
      </c>
      <c r="AC39" s="69">
        <f t="shared" si="29"/>
        <v>0</v>
      </c>
      <c r="AD39" s="69">
        <f t="shared" si="30"/>
        <v>0</v>
      </c>
      <c r="AE39" s="69">
        <f t="shared" si="32"/>
        <v>0</v>
      </c>
      <c r="AF39" s="69">
        <f t="shared" si="33"/>
        <v>0</v>
      </c>
      <c r="AG39" s="69"/>
      <c r="AH39" s="69">
        <f t="shared" si="38"/>
        <v>1067</v>
      </c>
      <c r="AI39" s="69">
        <f t="shared" si="39"/>
        <v>1067</v>
      </c>
      <c r="AJ39" s="69">
        <f t="shared" si="40"/>
        <v>1067</v>
      </c>
      <c r="AK39" s="69">
        <f t="shared" si="41"/>
        <v>1045</v>
      </c>
      <c r="AL39" s="69">
        <f t="shared" si="42"/>
        <v>1045</v>
      </c>
      <c r="AM39" s="69">
        <f t="shared" si="43"/>
        <v>1045</v>
      </c>
      <c r="AN39" s="69">
        <f t="shared" si="44"/>
        <v>855</v>
      </c>
      <c r="AO39" s="69">
        <f t="shared" si="45"/>
        <v>0</v>
      </c>
      <c r="AP39" s="69">
        <f t="shared" si="47"/>
        <v>0</v>
      </c>
      <c r="AQ39" s="69">
        <f t="shared" si="50"/>
        <v>0</v>
      </c>
      <c r="AR39" s="69">
        <f t="shared" si="51"/>
        <v>0</v>
      </c>
      <c r="AS39" s="69">
        <f t="shared" si="52"/>
        <v>0</v>
      </c>
      <c r="AT39" s="69">
        <f t="shared" si="54"/>
        <v>0</v>
      </c>
      <c r="AU39" s="69">
        <f t="shared" si="55"/>
        <v>0</v>
      </c>
      <c r="AV39" s="69" t="s">
        <v>143</v>
      </c>
      <c r="AW39" s="69"/>
      <c r="AX39" s="69"/>
      <c r="AY39" s="69"/>
      <c r="AZ39" s="69"/>
    </row>
    <row r="40" spans="1:52" ht="21.95" customHeight="1">
      <c r="A40" s="4"/>
      <c r="B40" s="4"/>
      <c r="C40" s="4"/>
      <c r="D40" s="4"/>
      <c r="E40" s="4"/>
      <c r="F40" s="4"/>
      <c r="G40" s="4"/>
      <c r="H40" s="39"/>
      <c r="I40" s="39"/>
      <c r="J40" s="39"/>
      <c r="K40" s="4"/>
      <c r="L40" s="4"/>
      <c r="M40" s="4"/>
      <c r="N40" s="32"/>
      <c r="O40" s="32"/>
      <c r="P40" s="69"/>
      <c r="Q40" s="69" t="s">
        <v>41</v>
      </c>
      <c r="R40" s="69">
        <f t="shared" si="22"/>
        <v>37</v>
      </c>
      <c r="S40" s="69">
        <f>E10*F13</f>
        <v>1100</v>
      </c>
      <c r="T40" s="69">
        <f>(1-$F$14)*S34</f>
        <v>1152</v>
      </c>
      <c r="U40" s="70">
        <f t="shared" si="56"/>
        <v>803.16</v>
      </c>
      <c r="V40" s="70">
        <f t="shared" si="24"/>
        <v>37</v>
      </c>
      <c r="W40" s="69">
        <f t="shared" si="25"/>
        <v>5900</v>
      </c>
      <c r="X40" s="69">
        <f t="shared" si="37"/>
        <v>22329</v>
      </c>
      <c r="Y40" s="69"/>
      <c r="Z40" s="69"/>
      <c r="AA40" s="69">
        <f t="shared" si="26"/>
        <v>0</v>
      </c>
      <c r="AB40" s="69">
        <f t="shared" si="28"/>
        <v>0</v>
      </c>
      <c r="AC40" s="69">
        <f t="shared" si="29"/>
        <v>0</v>
      </c>
      <c r="AD40" s="69">
        <f t="shared" si="30"/>
        <v>0</v>
      </c>
      <c r="AE40" s="69">
        <f t="shared" si="32"/>
        <v>0</v>
      </c>
      <c r="AF40" s="69">
        <f t="shared" si="33"/>
        <v>0</v>
      </c>
      <c r="AG40" s="69"/>
      <c r="AH40" s="69">
        <f t="shared" si="38"/>
        <v>1067</v>
      </c>
      <c r="AI40" s="69">
        <f t="shared" si="39"/>
        <v>1067</v>
      </c>
      <c r="AJ40" s="69">
        <f t="shared" si="40"/>
        <v>1067</v>
      </c>
      <c r="AK40" s="69">
        <f t="shared" si="41"/>
        <v>1067</v>
      </c>
      <c r="AL40" s="69">
        <f t="shared" si="42"/>
        <v>1045</v>
      </c>
      <c r="AM40" s="69">
        <f t="shared" si="43"/>
        <v>1045</v>
      </c>
      <c r="AN40" s="69">
        <f t="shared" si="44"/>
        <v>1045</v>
      </c>
      <c r="AO40" s="69">
        <f t="shared" si="45"/>
        <v>0</v>
      </c>
      <c r="AP40" s="69">
        <f t="shared" si="47"/>
        <v>0</v>
      </c>
      <c r="AQ40" s="69">
        <f t="shared" si="50"/>
        <v>0</v>
      </c>
      <c r="AR40" s="69">
        <f t="shared" si="51"/>
        <v>0</v>
      </c>
      <c r="AS40" s="69">
        <f t="shared" si="52"/>
        <v>0</v>
      </c>
      <c r="AT40" s="69">
        <f t="shared" si="54"/>
        <v>0</v>
      </c>
      <c r="AU40" s="69">
        <f t="shared" si="55"/>
        <v>0</v>
      </c>
      <c r="AV40" s="69" t="s">
        <v>143</v>
      </c>
      <c r="AW40" s="69"/>
      <c r="AX40" s="69"/>
      <c r="AY40" s="69"/>
      <c r="AZ40" s="69"/>
    </row>
    <row r="41" spans="1:52" ht="21.95" customHeight="1">
      <c r="A41" s="4"/>
      <c r="B41" s="39"/>
      <c r="C41" s="39"/>
      <c r="D41" s="62">
        <f>D25*0.01*E18</f>
        <v>46.400000000000006</v>
      </c>
      <c r="E41" s="62">
        <f>E25*L18*0.01</f>
        <v>128.25</v>
      </c>
      <c r="F41" s="39"/>
      <c r="G41" s="39"/>
      <c r="H41" s="39"/>
      <c r="I41" s="39"/>
      <c r="J41" s="39"/>
      <c r="K41" s="4"/>
      <c r="L41" s="4"/>
      <c r="M41" s="4"/>
      <c r="N41" s="32"/>
      <c r="O41" s="32"/>
      <c r="P41" s="69"/>
      <c r="Q41" s="69" t="s">
        <v>41</v>
      </c>
      <c r="R41" s="69">
        <f t="shared" si="22"/>
        <v>38</v>
      </c>
      <c r="S41" s="69">
        <f>S40</f>
        <v>1100</v>
      </c>
      <c r="T41" s="69">
        <f t="shared" ref="T41:T53" si="57">(1-$F$14)*S35</f>
        <v>1152</v>
      </c>
      <c r="U41" s="70">
        <f>(1-$F$14)*T13</f>
        <v>794.88</v>
      </c>
      <c r="V41" s="70">
        <f t="shared" si="24"/>
        <v>38</v>
      </c>
      <c r="W41" s="69">
        <f t="shared" si="25"/>
        <v>5800</v>
      </c>
      <c r="X41" s="69">
        <f t="shared" si="37"/>
        <v>22436</v>
      </c>
      <c r="Y41" s="69"/>
      <c r="Z41" s="69"/>
      <c r="AA41" s="69">
        <f t="shared" si="26"/>
        <v>0</v>
      </c>
      <c r="AB41" s="69">
        <f t="shared" si="28"/>
        <v>0</v>
      </c>
      <c r="AC41" s="69">
        <f t="shared" si="29"/>
        <v>0</v>
      </c>
      <c r="AD41" s="69">
        <f t="shared" si="30"/>
        <v>0</v>
      </c>
      <c r="AE41" s="69">
        <f t="shared" si="32"/>
        <v>0</v>
      </c>
      <c r="AF41" s="69">
        <f t="shared" si="33"/>
        <v>0</v>
      </c>
      <c r="AG41" s="69"/>
      <c r="AH41" s="69">
        <f t="shared" si="38"/>
        <v>1067</v>
      </c>
      <c r="AI41" s="69">
        <f t="shared" si="39"/>
        <v>1067</v>
      </c>
      <c r="AJ41" s="69">
        <f t="shared" si="40"/>
        <v>1067</v>
      </c>
      <c r="AK41" s="69">
        <f t="shared" si="41"/>
        <v>1067</v>
      </c>
      <c r="AL41" s="69">
        <f t="shared" si="42"/>
        <v>1067</v>
      </c>
      <c r="AM41" s="69">
        <f t="shared" si="43"/>
        <v>1045</v>
      </c>
      <c r="AN41" s="69">
        <f t="shared" si="44"/>
        <v>1045</v>
      </c>
      <c r="AO41" s="69">
        <f t="shared" si="45"/>
        <v>0</v>
      </c>
      <c r="AP41" s="69">
        <f t="shared" si="47"/>
        <v>0</v>
      </c>
      <c r="AQ41" s="69">
        <f t="shared" si="50"/>
        <v>0</v>
      </c>
      <c r="AR41" s="69">
        <f t="shared" si="51"/>
        <v>0</v>
      </c>
      <c r="AS41" s="69">
        <f t="shared" si="52"/>
        <v>0</v>
      </c>
      <c r="AT41" s="69">
        <f t="shared" si="54"/>
        <v>0</v>
      </c>
      <c r="AU41" s="69">
        <f t="shared" si="55"/>
        <v>0</v>
      </c>
      <c r="AV41" s="69" t="s">
        <v>143</v>
      </c>
      <c r="AW41" s="69"/>
      <c r="AX41" s="69"/>
      <c r="AY41" s="69"/>
      <c r="AZ41" s="69"/>
    </row>
    <row r="42" spans="1:52" ht="21.95" customHeight="1">
      <c r="A42" s="4"/>
      <c r="B42" s="4"/>
      <c r="C42" s="4"/>
      <c r="D42" s="4"/>
      <c r="E42" s="4"/>
      <c r="F42" s="4"/>
      <c r="G42" s="4"/>
      <c r="H42" s="39"/>
      <c r="I42" s="39"/>
      <c r="J42" s="39"/>
      <c r="K42" s="4"/>
      <c r="L42" s="4"/>
      <c r="M42" s="4"/>
      <c r="N42" s="32"/>
      <c r="O42" s="32"/>
      <c r="P42" s="69"/>
      <c r="Q42" s="69" t="s">
        <v>23</v>
      </c>
      <c r="R42" s="69">
        <f t="shared" si="22"/>
        <v>39</v>
      </c>
      <c r="S42" s="69">
        <f t="shared" ref="S42:S53" si="58">S41</f>
        <v>1100</v>
      </c>
      <c r="T42" s="69">
        <f t="shared" si="57"/>
        <v>1152</v>
      </c>
      <c r="U42" s="70">
        <f t="shared" ref="U42:U53" si="59">(1-$F$14)*T14</f>
        <v>794.88</v>
      </c>
      <c r="V42" s="70">
        <f t="shared" si="24"/>
        <v>39</v>
      </c>
      <c r="W42" s="69">
        <f t="shared" si="25"/>
        <v>5700</v>
      </c>
      <c r="X42" s="69">
        <f t="shared" si="37"/>
        <v>22543</v>
      </c>
      <c r="Y42" s="69"/>
      <c r="Z42" s="69"/>
      <c r="AA42" s="69">
        <f t="shared" si="26"/>
        <v>0</v>
      </c>
      <c r="AB42" s="69">
        <f t="shared" si="28"/>
        <v>0</v>
      </c>
      <c r="AC42" s="69">
        <f t="shared" si="29"/>
        <v>0</v>
      </c>
      <c r="AD42" s="69">
        <f t="shared" si="30"/>
        <v>0</v>
      </c>
      <c r="AE42" s="69">
        <f t="shared" si="32"/>
        <v>0</v>
      </c>
      <c r="AF42" s="69">
        <f t="shared" si="33"/>
        <v>0</v>
      </c>
      <c r="AG42" s="69"/>
      <c r="AH42" s="69">
        <f t="shared" si="38"/>
        <v>1067</v>
      </c>
      <c r="AI42" s="69">
        <f t="shared" si="39"/>
        <v>1067</v>
      </c>
      <c r="AJ42" s="69">
        <f t="shared" si="40"/>
        <v>1067</v>
      </c>
      <c r="AK42" s="69">
        <f t="shared" si="41"/>
        <v>1067</v>
      </c>
      <c r="AL42" s="69">
        <f t="shared" si="42"/>
        <v>1067</v>
      </c>
      <c r="AM42" s="69">
        <f t="shared" si="43"/>
        <v>1067</v>
      </c>
      <c r="AN42" s="69">
        <f t="shared" si="44"/>
        <v>1045</v>
      </c>
      <c r="AO42" s="69">
        <f t="shared" si="45"/>
        <v>0</v>
      </c>
      <c r="AP42" s="69">
        <f t="shared" si="47"/>
        <v>0</v>
      </c>
      <c r="AQ42" s="69">
        <f t="shared" si="50"/>
        <v>0</v>
      </c>
      <c r="AR42" s="69">
        <f t="shared" si="51"/>
        <v>0</v>
      </c>
      <c r="AS42" s="69">
        <f t="shared" si="52"/>
        <v>0</v>
      </c>
      <c r="AT42" s="69">
        <f t="shared" si="54"/>
        <v>0</v>
      </c>
      <c r="AU42" s="69">
        <f t="shared" si="55"/>
        <v>0</v>
      </c>
      <c r="AV42" s="69" t="s">
        <v>144</v>
      </c>
      <c r="AW42" s="69"/>
      <c r="AX42" s="69"/>
      <c r="AY42" s="69"/>
      <c r="AZ42" s="69"/>
    </row>
    <row r="43" spans="1:52" ht="20.100000000000001" customHeight="1">
      <c r="A43" s="4"/>
      <c r="B43" s="4"/>
      <c r="C43" s="4"/>
      <c r="D43" s="4"/>
      <c r="E43" s="4"/>
      <c r="F43" s="4"/>
      <c r="G43" s="4"/>
      <c r="H43" s="39"/>
      <c r="I43" s="39"/>
      <c r="J43" s="39"/>
      <c r="K43" s="4"/>
      <c r="L43" s="4"/>
      <c r="M43" s="4"/>
      <c r="N43" s="32"/>
      <c r="O43" s="32"/>
      <c r="P43" s="69"/>
      <c r="Q43" s="69" t="s">
        <v>23</v>
      </c>
      <c r="R43" s="69">
        <f t="shared" si="22"/>
        <v>40</v>
      </c>
      <c r="S43" s="69">
        <f t="shared" si="58"/>
        <v>1100</v>
      </c>
      <c r="T43" s="69">
        <f t="shared" si="57"/>
        <v>1152</v>
      </c>
      <c r="U43" s="70">
        <f t="shared" si="59"/>
        <v>820.8</v>
      </c>
      <c r="V43" s="70">
        <f t="shared" si="24"/>
        <v>40</v>
      </c>
      <c r="W43" s="69">
        <f t="shared" si="25"/>
        <v>5600</v>
      </c>
      <c r="X43" s="69">
        <f t="shared" si="37"/>
        <v>22650</v>
      </c>
      <c r="Y43" s="69"/>
      <c r="Z43" s="69"/>
      <c r="AA43" s="69">
        <f t="shared" si="26"/>
        <v>0</v>
      </c>
      <c r="AB43" s="69">
        <f t="shared" si="28"/>
        <v>0</v>
      </c>
      <c r="AC43" s="69">
        <f t="shared" si="29"/>
        <v>0</v>
      </c>
      <c r="AD43" s="69">
        <f t="shared" si="30"/>
        <v>0</v>
      </c>
      <c r="AE43" s="69">
        <f t="shared" si="32"/>
        <v>0</v>
      </c>
      <c r="AF43" s="69">
        <f t="shared" si="33"/>
        <v>0</v>
      </c>
      <c r="AG43" s="69"/>
      <c r="AH43" s="69">
        <f t="shared" si="38"/>
        <v>1164</v>
      </c>
      <c r="AI43" s="69">
        <f t="shared" si="39"/>
        <v>1067</v>
      </c>
      <c r="AJ43" s="69">
        <f t="shared" si="40"/>
        <v>1067</v>
      </c>
      <c r="AK43" s="69">
        <f t="shared" si="41"/>
        <v>1067</v>
      </c>
      <c r="AL43" s="69">
        <f t="shared" si="42"/>
        <v>1067</v>
      </c>
      <c r="AM43" s="69">
        <f t="shared" si="43"/>
        <v>1067</v>
      </c>
      <c r="AN43" s="69">
        <f t="shared" si="44"/>
        <v>1067</v>
      </c>
      <c r="AO43" s="69">
        <f t="shared" si="45"/>
        <v>0</v>
      </c>
      <c r="AP43" s="69">
        <f t="shared" si="47"/>
        <v>0</v>
      </c>
      <c r="AQ43" s="69">
        <f t="shared" si="50"/>
        <v>0</v>
      </c>
      <c r="AR43" s="69">
        <f t="shared" si="51"/>
        <v>0</v>
      </c>
      <c r="AS43" s="69">
        <f t="shared" si="52"/>
        <v>0</v>
      </c>
      <c r="AT43" s="69">
        <f t="shared" si="54"/>
        <v>0</v>
      </c>
      <c r="AU43" s="69">
        <f t="shared" si="55"/>
        <v>0</v>
      </c>
      <c r="AV43" s="69" t="s">
        <v>144</v>
      </c>
      <c r="AW43" s="69"/>
      <c r="AX43" s="69"/>
      <c r="AY43" s="69"/>
      <c r="AZ43" s="69"/>
    </row>
    <row r="44" spans="1:52" ht="20.100000000000001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32"/>
      <c r="O44" s="32"/>
      <c r="P44" s="69"/>
      <c r="Q44" s="69" t="s">
        <v>23</v>
      </c>
      <c r="R44" s="69">
        <f t="shared" si="22"/>
        <v>41</v>
      </c>
      <c r="S44" s="69">
        <f t="shared" si="58"/>
        <v>1100</v>
      </c>
      <c r="T44" s="69">
        <f t="shared" si="57"/>
        <v>1152</v>
      </c>
      <c r="U44" s="70">
        <f t="shared" si="59"/>
        <v>820.8</v>
      </c>
      <c r="V44" s="70">
        <f t="shared" si="24"/>
        <v>41</v>
      </c>
      <c r="W44" s="69">
        <f t="shared" si="25"/>
        <v>5500</v>
      </c>
      <c r="X44" s="69">
        <f t="shared" si="37"/>
        <v>22735</v>
      </c>
      <c r="Y44" s="69"/>
      <c r="Z44" s="69"/>
      <c r="AA44" s="69">
        <f t="shared" si="26"/>
        <v>0</v>
      </c>
      <c r="AB44" s="69">
        <f t="shared" si="28"/>
        <v>0</v>
      </c>
      <c r="AC44" s="69">
        <f t="shared" si="29"/>
        <v>0</v>
      </c>
      <c r="AD44" s="69">
        <f t="shared" si="30"/>
        <v>0</v>
      </c>
      <c r="AE44" s="69">
        <f t="shared" si="32"/>
        <v>0</v>
      </c>
      <c r="AF44" s="69">
        <f t="shared" si="33"/>
        <v>0</v>
      </c>
      <c r="AG44" s="69"/>
      <c r="AH44" s="69">
        <f t="shared" si="38"/>
        <v>1164</v>
      </c>
      <c r="AI44" s="69">
        <f t="shared" si="39"/>
        <v>1164</v>
      </c>
      <c r="AJ44" s="69">
        <f t="shared" si="40"/>
        <v>1067</v>
      </c>
      <c r="AK44" s="69">
        <f t="shared" si="41"/>
        <v>1067</v>
      </c>
      <c r="AL44" s="69">
        <f t="shared" si="42"/>
        <v>1067</v>
      </c>
      <c r="AM44" s="69">
        <f t="shared" si="43"/>
        <v>1067</v>
      </c>
      <c r="AN44" s="69">
        <f t="shared" si="44"/>
        <v>1067</v>
      </c>
      <c r="AO44" s="69">
        <f t="shared" si="45"/>
        <v>0</v>
      </c>
      <c r="AP44" s="69">
        <f t="shared" si="47"/>
        <v>0</v>
      </c>
      <c r="AQ44" s="69">
        <f t="shared" si="50"/>
        <v>0</v>
      </c>
      <c r="AR44" s="69">
        <f t="shared" si="51"/>
        <v>0</v>
      </c>
      <c r="AS44" s="69">
        <f t="shared" si="52"/>
        <v>0</v>
      </c>
      <c r="AT44" s="69">
        <f t="shared" si="54"/>
        <v>0</v>
      </c>
      <c r="AU44" s="69">
        <f t="shared" si="55"/>
        <v>0</v>
      </c>
      <c r="AV44" s="69" t="s">
        <v>144</v>
      </c>
      <c r="AW44" s="69"/>
      <c r="AX44" s="69"/>
      <c r="AY44" s="69"/>
      <c r="AZ44" s="69"/>
    </row>
    <row r="45" spans="1:52" ht="20.100000000000001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32"/>
      <c r="O45" s="32"/>
      <c r="P45" s="69"/>
      <c r="Q45" s="69" t="s">
        <v>23</v>
      </c>
      <c r="R45" s="69">
        <f t="shared" si="22"/>
        <v>42</v>
      </c>
      <c r="S45" s="69">
        <f t="shared" si="58"/>
        <v>1100</v>
      </c>
      <c r="T45" s="69">
        <f t="shared" si="57"/>
        <v>1152</v>
      </c>
      <c r="U45" s="70">
        <f t="shared" si="59"/>
        <v>820.8</v>
      </c>
      <c r="V45" s="70">
        <f t="shared" si="24"/>
        <v>42</v>
      </c>
      <c r="W45" s="69">
        <f t="shared" si="25"/>
        <v>5500</v>
      </c>
      <c r="X45" s="69">
        <f t="shared" si="37"/>
        <v>22820</v>
      </c>
      <c r="Y45" s="69"/>
      <c r="Z45" s="69"/>
      <c r="AA45" s="69">
        <f t="shared" si="26"/>
        <v>0</v>
      </c>
      <c r="AB45" s="69">
        <f t="shared" si="28"/>
        <v>0</v>
      </c>
      <c r="AC45" s="69">
        <f t="shared" si="29"/>
        <v>0</v>
      </c>
      <c r="AD45" s="69">
        <f t="shared" si="30"/>
        <v>0</v>
      </c>
      <c r="AE45" s="69">
        <f t="shared" si="32"/>
        <v>0</v>
      </c>
      <c r="AF45" s="69">
        <f t="shared" si="33"/>
        <v>0</v>
      </c>
      <c r="AG45" s="69"/>
      <c r="AH45" s="69">
        <f t="shared" si="38"/>
        <v>1164</v>
      </c>
      <c r="AI45" s="69">
        <f t="shared" si="39"/>
        <v>1164</v>
      </c>
      <c r="AJ45" s="69">
        <f t="shared" si="40"/>
        <v>1164</v>
      </c>
      <c r="AK45" s="69">
        <f t="shared" si="41"/>
        <v>1067</v>
      </c>
      <c r="AL45" s="69">
        <f t="shared" si="42"/>
        <v>1067</v>
      </c>
      <c r="AM45" s="69">
        <f t="shared" si="43"/>
        <v>1067</v>
      </c>
      <c r="AN45" s="69">
        <f t="shared" si="44"/>
        <v>1067</v>
      </c>
      <c r="AO45" s="69">
        <f t="shared" si="45"/>
        <v>0</v>
      </c>
      <c r="AP45" s="69">
        <f t="shared" si="47"/>
        <v>0</v>
      </c>
      <c r="AQ45" s="69">
        <f t="shared" si="50"/>
        <v>0</v>
      </c>
      <c r="AR45" s="69">
        <f t="shared" si="51"/>
        <v>0</v>
      </c>
      <c r="AS45" s="69">
        <f t="shared" si="52"/>
        <v>0</v>
      </c>
      <c r="AT45" s="69">
        <f t="shared" si="54"/>
        <v>0</v>
      </c>
      <c r="AU45" s="69">
        <f t="shared" si="55"/>
        <v>0</v>
      </c>
      <c r="AV45" s="69" t="s">
        <v>144</v>
      </c>
      <c r="AW45" s="69"/>
      <c r="AX45" s="69"/>
      <c r="AY45" s="69"/>
      <c r="AZ45" s="69"/>
    </row>
    <row r="46" spans="1:52" ht="20.100000000000001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32"/>
      <c r="O46" s="32"/>
      <c r="P46" s="69"/>
      <c r="Q46" s="69" t="s">
        <v>24</v>
      </c>
      <c r="R46" s="69">
        <f t="shared" si="22"/>
        <v>43</v>
      </c>
      <c r="S46" s="69">
        <f t="shared" si="58"/>
        <v>1100</v>
      </c>
      <c r="T46" s="69">
        <f t="shared" si="57"/>
        <v>1056</v>
      </c>
      <c r="U46" s="70">
        <f t="shared" si="59"/>
        <v>820.8</v>
      </c>
      <c r="V46" s="70">
        <f t="shared" si="24"/>
        <v>43</v>
      </c>
      <c r="W46" s="69">
        <f t="shared" si="25"/>
        <v>5500</v>
      </c>
      <c r="X46" s="69">
        <f t="shared" si="37"/>
        <v>22809</v>
      </c>
      <c r="Y46" s="69"/>
      <c r="Z46" s="69"/>
      <c r="AA46" s="69">
        <f t="shared" si="26"/>
        <v>0</v>
      </c>
      <c r="AB46" s="69">
        <f t="shared" si="28"/>
        <v>0</v>
      </c>
      <c r="AC46" s="69">
        <f t="shared" si="29"/>
        <v>0</v>
      </c>
      <c r="AD46" s="69">
        <f t="shared" si="30"/>
        <v>0</v>
      </c>
      <c r="AE46" s="69">
        <f t="shared" si="32"/>
        <v>0</v>
      </c>
      <c r="AF46" s="69">
        <f t="shared" si="33"/>
        <v>0</v>
      </c>
      <c r="AG46" s="69"/>
      <c r="AH46" s="69">
        <f t="shared" si="38"/>
        <v>1164</v>
      </c>
      <c r="AI46" s="69">
        <f t="shared" si="39"/>
        <v>1164</v>
      </c>
      <c r="AJ46" s="69">
        <f t="shared" si="40"/>
        <v>1164</v>
      </c>
      <c r="AK46" s="69">
        <f t="shared" si="41"/>
        <v>1164</v>
      </c>
      <c r="AL46" s="69">
        <f t="shared" si="42"/>
        <v>1067</v>
      </c>
      <c r="AM46" s="69">
        <f t="shared" si="43"/>
        <v>1067</v>
      </c>
      <c r="AN46" s="69">
        <f t="shared" si="44"/>
        <v>1067</v>
      </c>
      <c r="AO46" s="69">
        <f t="shared" si="45"/>
        <v>0</v>
      </c>
      <c r="AP46" s="69">
        <f t="shared" si="47"/>
        <v>0</v>
      </c>
      <c r="AQ46" s="69">
        <f t="shared" si="50"/>
        <v>0</v>
      </c>
      <c r="AR46" s="69">
        <f t="shared" si="51"/>
        <v>0</v>
      </c>
      <c r="AS46" s="69">
        <f t="shared" si="52"/>
        <v>0</v>
      </c>
      <c r="AT46" s="69">
        <f t="shared" si="54"/>
        <v>0</v>
      </c>
      <c r="AU46" s="69">
        <f t="shared" si="55"/>
        <v>0</v>
      </c>
      <c r="AV46" s="69" t="s">
        <v>145</v>
      </c>
      <c r="AW46" s="69"/>
      <c r="AX46" s="69"/>
      <c r="AY46" s="69"/>
      <c r="AZ46" s="69"/>
    </row>
    <row r="47" spans="1:52" ht="20.100000000000001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32"/>
      <c r="O47" s="32"/>
      <c r="P47" s="69"/>
      <c r="Q47" s="69" t="s">
        <v>24</v>
      </c>
      <c r="R47" s="69">
        <f t="shared" si="22"/>
        <v>44</v>
      </c>
      <c r="S47" s="69">
        <f t="shared" si="58"/>
        <v>1100</v>
      </c>
      <c r="T47" s="69">
        <f t="shared" si="57"/>
        <v>1056</v>
      </c>
      <c r="U47" s="70">
        <f t="shared" si="59"/>
        <v>820.8</v>
      </c>
      <c r="V47" s="70">
        <f t="shared" si="24"/>
        <v>44</v>
      </c>
      <c r="W47" s="69">
        <f t="shared" si="25"/>
        <v>5500</v>
      </c>
      <c r="X47" s="69">
        <f t="shared" si="37"/>
        <v>22798</v>
      </c>
      <c r="Y47" s="69"/>
      <c r="Z47" s="69"/>
      <c r="AA47" s="69">
        <f t="shared" si="26"/>
        <v>0</v>
      </c>
      <c r="AB47" s="69">
        <f t="shared" si="28"/>
        <v>0</v>
      </c>
      <c r="AC47" s="69">
        <f t="shared" si="29"/>
        <v>0</v>
      </c>
      <c r="AD47" s="69">
        <f t="shared" si="30"/>
        <v>0</v>
      </c>
      <c r="AE47" s="69">
        <f t="shared" si="32"/>
        <v>0</v>
      </c>
      <c r="AF47" s="69">
        <f t="shared" si="33"/>
        <v>0</v>
      </c>
      <c r="AG47" s="69"/>
      <c r="AH47" s="69">
        <f t="shared" si="38"/>
        <v>1164</v>
      </c>
      <c r="AI47" s="69">
        <f t="shared" si="39"/>
        <v>1164</v>
      </c>
      <c r="AJ47" s="69">
        <f t="shared" si="40"/>
        <v>1164</v>
      </c>
      <c r="AK47" s="69">
        <f t="shared" si="41"/>
        <v>1164</v>
      </c>
      <c r="AL47" s="69">
        <f t="shared" si="42"/>
        <v>1164</v>
      </c>
      <c r="AM47" s="69">
        <f t="shared" si="43"/>
        <v>1067</v>
      </c>
      <c r="AN47" s="69">
        <f t="shared" si="44"/>
        <v>1067</v>
      </c>
      <c r="AO47" s="69">
        <f t="shared" si="45"/>
        <v>0</v>
      </c>
      <c r="AP47" s="69">
        <f t="shared" si="47"/>
        <v>0</v>
      </c>
      <c r="AQ47" s="69">
        <f t="shared" si="50"/>
        <v>0</v>
      </c>
      <c r="AR47" s="69">
        <f t="shared" si="51"/>
        <v>0</v>
      </c>
      <c r="AS47" s="69">
        <f t="shared" si="52"/>
        <v>0</v>
      </c>
      <c r="AT47" s="69">
        <f t="shared" si="54"/>
        <v>0</v>
      </c>
      <c r="AU47" s="69">
        <f t="shared" si="55"/>
        <v>0</v>
      </c>
      <c r="AV47" s="69" t="s">
        <v>146</v>
      </c>
      <c r="AW47" s="69"/>
      <c r="AX47" s="69"/>
      <c r="AY47" s="69"/>
      <c r="AZ47" s="69"/>
    </row>
    <row r="48" spans="1:52" ht="20.100000000000001" customHeight="1" thickBo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32"/>
      <c r="O48" s="32"/>
      <c r="P48" s="69"/>
      <c r="Q48" s="69" t="s">
        <v>24</v>
      </c>
      <c r="R48" s="69">
        <f t="shared" si="22"/>
        <v>45</v>
      </c>
      <c r="S48" s="69">
        <f t="shared" si="58"/>
        <v>1100</v>
      </c>
      <c r="T48" s="69">
        <f t="shared" si="57"/>
        <v>1056</v>
      </c>
      <c r="U48" s="70">
        <f t="shared" si="59"/>
        <v>820.8</v>
      </c>
      <c r="V48" s="70">
        <f t="shared" si="24"/>
        <v>45</v>
      </c>
      <c r="W48" s="69">
        <f t="shared" si="25"/>
        <v>5500</v>
      </c>
      <c r="X48" s="69">
        <f t="shared" si="37"/>
        <v>22787</v>
      </c>
      <c r="Y48" s="69"/>
      <c r="Z48" s="69"/>
      <c r="AA48" s="69">
        <f t="shared" si="26"/>
        <v>0</v>
      </c>
      <c r="AB48" s="69">
        <f t="shared" si="28"/>
        <v>0</v>
      </c>
      <c r="AC48" s="69">
        <f t="shared" si="29"/>
        <v>0</v>
      </c>
      <c r="AD48" s="69">
        <f t="shared" si="30"/>
        <v>0</v>
      </c>
      <c r="AE48" s="69">
        <f t="shared" si="32"/>
        <v>0</v>
      </c>
      <c r="AF48" s="69">
        <f t="shared" si="33"/>
        <v>0</v>
      </c>
      <c r="AG48" s="69"/>
      <c r="AH48" s="69">
        <f t="shared" si="38"/>
        <v>1164</v>
      </c>
      <c r="AI48" s="69">
        <f t="shared" si="39"/>
        <v>1164</v>
      </c>
      <c r="AJ48" s="69">
        <f t="shared" si="40"/>
        <v>1164</v>
      </c>
      <c r="AK48" s="69">
        <f t="shared" si="41"/>
        <v>1164</v>
      </c>
      <c r="AL48" s="69">
        <f t="shared" si="42"/>
        <v>1164</v>
      </c>
      <c r="AM48" s="69">
        <f t="shared" si="43"/>
        <v>1164</v>
      </c>
      <c r="AN48" s="69">
        <f t="shared" si="44"/>
        <v>1067</v>
      </c>
      <c r="AO48" s="69">
        <f t="shared" si="45"/>
        <v>0</v>
      </c>
      <c r="AP48" s="69">
        <f t="shared" si="47"/>
        <v>0</v>
      </c>
      <c r="AQ48" s="69">
        <f t="shared" si="50"/>
        <v>0</v>
      </c>
      <c r="AR48" s="69">
        <f t="shared" si="51"/>
        <v>0</v>
      </c>
      <c r="AS48" s="69">
        <f t="shared" si="52"/>
        <v>0</v>
      </c>
      <c r="AT48" s="69">
        <f t="shared" si="54"/>
        <v>0</v>
      </c>
      <c r="AU48" s="69">
        <f t="shared" si="55"/>
        <v>0</v>
      </c>
      <c r="AV48" s="69" t="s">
        <v>146</v>
      </c>
      <c r="AW48" s="69"/>
      <c r="AX48" s="69"/>
      <c r="AY48" s="69"/>
      <c r="AZ48" s="69"/>
    </row>
    <row r="49" spans="1:52" ht="20.100000000000001" customHeight="1" thickBot="1">
      <c r="A49" s="4"/>
      <c r="B49" s="33" t="s">
        <v>47</v>
      </c>
      <c r="C49" s="7"/>
      <c r="D49" s="7"/>
      <c r="E49" s="65">
        <v>11</v>
      </c>
      <c r="F49" s="4"/>
      <c r="G49" s="125" t="str">
        <f>VLOOKUP(E49,R4:AV55,31)</f>
        <v>March</v>
      </c>
      <c r="H49" s="4"/>
      <c r="I49" s="87" t="s">
        <v>113</v>
      </c>
      <c r="J49" s="86"/>
      <c r="K49" s="90" t="s">
        <v>74</v>
      </c>
      <c r="L49" s="51"/>
      <c r="M49" s="52">
        <f>VLOOKUP(E49,R4:U55,2)</f>
        <v>900</v>
      </c>
      <c r="N49" s="32"/>
      <c r="O49" s="32"/>
      <c r="P49" s="69"/>
      <c r="Q49" s="69" t="s">
        <v>24</v>
      </c>
      <c r="R49" s="69">
        <f t="shared" si="22"/>
        <v>46</v>
      </c>
      <c r="S49" s="69">
        <f t="shared" si="58"/>
        <v>1100</v>
      </c>
      <c r="T49" s="69">
        <f t="shared" si="57"/>
        <v>1056</v>
      </c>
      <c r="U49" s="70">
        <f t="shared" si="59"/>
        <v>1003.1999999999999</v>
      </c>
      <c r="V49" s="70">
        <f t="shared" si="24"/>
        <v>46</v>
      </c>
      <c r="W49" s="69">
        <f t="shared" si="25"/>
        <v>5500</v>
      </c>
      <c r="X49" s="69">
        <f t="shared" si="37"/>
        <v>22776</v>
      </c>
      <c r="Y49" s="69"/>
      <c r="Z49" s="69"/>
      <c r="AA49" s="69">
        <f t="shared" si="26"/>
        <v>0</v>
      </c>
      <c r="AB49" s="69">
        <f t="shared" si="28"/>
        <v>0</v>
      </c>
      <c r="AC49" s="69">
        <f t="shared" si="29"/>
        <v>0</v>
      </c>
      <c r="AD49" s="69">
        <f t="shared" si="30"/>
        <v>0</v>
      </c>
      <c r="AE49" s="69">
        <f t="shared" si="32"/>
        <v>0</v>
      </c>
      <c r="AF49" s="69">
        <f t="shared" si="33"/>
        <v>0</v>
      </c>
      <c r="AG49" s="69"/>
      <c r="AH49" s="69">
        <f t="shared" si="38"/>
        <v>1164</v>
      </c>
      <c r="AI49" s="69">
        <f t="shared" si="39"/>
        <v>1164</v>
      </c>
      <c r="AJ49" s="69">
        <f t="shared" si="40"/>
        <v>1164</v>
      </c>
      <c r="AK49" s="69">
        <f t="shared" si="41"/>
        <v>1164</v>
      </c>
      <c r="AL49" s="69">
        <f t="shared" si="42"/>
        <v>1164</v>
      </c>
      <c r="AM49" s="69">
        <f t="shared" si="43"/>
        <v>1164</v>
      </c>
      <c r="AN49" s="69">
        <f t="shared" si="44"/>
        <v>1164</v>
      </c>
      <c r="AO49" s="69">
        <f t="shared" si="45"/>
        <v>0</v>
      </c>
      <c r="AP49" s="69">
        <f t="shared" si="47"/>
        <v>0</v>
      </c>
      <c r="AQ49" s="69">
        <f t="shared" si="50"/>
        <v>0</v>
      </c>
      <c r="AR49" s="69">
        <f t="shared" si="51"/>
        <v>0</v>
      </c>
      <c r="AS49" s="69">
        <f t="shared" si="52"/>
        <v>0</v>
      </c>
      <c r="AT49" s="69">
        <f t="shared" si="54"/>
        <v>0</v>
      </c>
      <c r="AU49" s="69">
        <f t="shared" si="55"/>
        <v>0</v>
      </c>
      <c r="AV49" s="69" t="s">
        <v>146</v>
      </c>
      <c r="AW49" s="69"/>
      <c r="AX49" s="69"/>
      <c r="AY49" s="69"/>
      <c r="AZ49" s="69"/>
    </row>
    <row r="50" spans="1:52" ht="20.100000000000001" customHeight="1" thickBot="1">
      <c r="A50" s="4"/>
      <c r="B50" s="90" t="s">
        <v>48</v>
      </c>
      <c r="C50" s="51"/>
      <c r="D50" s="51"/>
      <c r="E50" s="95">
        <f>VLOOKUP(E49,V4:X55,2)</f>
        <v>4500</v>
      </c>
      <c r="F50" s="4"/>
      <c r="G50" s="125" t="str">
        <f>IF(P50&gt;0,P50&amp;" spaces short",P50*-1&amp;" spaces long")</f>
        <v>500 spaces short</v>
      </c>
      <c r="H50" s="4"/>
      <c r="I50" s="88" t="s">
        <v>77</v>
      </c>
      <c r="J50" s="89">
        <f>E49</f>
        <v>11</v>
      </c>
      <c r="K50" s="53" t="s">
        <v>75</v>
      </c>
      <c r="L50" s="54"/>
      <c r="M50" s="55">
        <f>VLOOKUP(E49,R4:U55,3)</f>
        <v>828</v>
      </c>
      <c r="N50" s="32"/>
      <c r="O50" s="32"/>
      <c r="P50" s="69">
        <f>E50-D28</f>
        <v>500</v>
      </c>
      <c r="Q50" s="69" t="s">
        <v>24</v>
      </c>
      <c r="R50" s="69">
        <f t="shared" si="22"/>
        <v>47</v>
      </c>
      <c r="S50" s="69">
        <f t="shared" si="58"/>
        <v>1100</v>
      </c>
      <c r="T50" s="69">
        <f t="shared" si="57"/>
        <v>1056</v>
      </c>
      <c r="U50" s="70">
        <f t="shared" si="59"/>
        <v>1003.1999999999999</v>
      </c>
      <c r="V50" s="70">
        <f t="shared" si="24"/>
        <v>47</v>
      </c>
      <c r="W50" s="69">
        <f t="shared" si="25"/>
        <v>5500</v>
      </c>
      <c r="X50" s="69">
        <f t="shared" si="37"/>
        <v>22668</v>
      </c>
      <c r="Y50" s="69"/>
      <c r="Z50" s="69"/>
      <c r="AA50" s="69">
        <f t="shared" si="26"/>
        <v>0</v>
      </c>
      <c r="AB50" s="69">
        <f t="shared" si="28"/>
        <v>0</v>
      </c>
      <c r="AC50" s="69">
        <f t="shared" si="29"/>
        <v>0</v>
      </c>
      <c r="AD50" s="69">
        <f t="shared" si="30"/>
        <v>0</v>
      </c>
      <c r="AE50" s="69">
        <f t="shared" si="32"/>
        <v>0</v>
      </c>
      <c r="AF50" s="69">
        <f t="shared" si="33"/>
        <v>0</v>
      </c>
      <c r="AG50" s="69"/>
      <c r="AH50" s="69">
        <f t="shared" si="38"/>
        <v>1164</v>
      </c>
      <c r="AI50" s="69">
        <f t="shared" si="39"/>
        <v>1164</v>
      </c>
      <c r="AJ50" s="69">
        <f t="shared" si="40"/>
        <v>1164</v>
      </c>
      <c r="AK50" s="69">
        <f t="shared" si="41"/>
        <v>1164</v>
      </c>
      <c r="AL50" s="69">
        <f t="shared" si="42"/>
        <v>1164</v>
      </c>
      <c r="AM50" s="69">
        <f t="shared" si="43"/>
        <v>1164</v>
      </c>
      <c r="AN50" s="69">
        <f t="shared" si="44"/>
        <v>1164</v>
      </c>
      <c r="AO50" s="69">
        <f t="shared" si="45"/>
        <v>0</v>
      </c>
      <c r="AP50" s="69">
        <f t="shared" si="47"/>
        <v>0</v>
      </c>
      <c r="AQ50" s="69">
        <f t="shared" si="50"/>
        <v>0</v>
      </c>
      <c r="AR50" s="69">
        <f t="shared" si="51"/>
        <v>0</v>
      </c>
      <c r="AS50" s="69">
        <f t="shared" si="52"/>
        <v>0</v>
      </c>
      <c r="AT50" s="69">
        <f t="shared" si="54"/>
        <v>0</v>
      </c>
      <c r="AU50" s="69">
        <f t="shared" si="55"/>
        <v>0</v>
      </c>
      <c r="AV50" s="69" t="s">
        <v>146</v>
      </c>
      <c r="AW50" s="69"/>
      <c r="AX50" s="69"/>
      <c r="AY50" s="69"/>
      <c r="AZ50" s="69"/>
    </row>
    <row r="51" spans="1:52" ht="20.100000000000001" customHeight="1" thickBot="1">
      <c r="A51" s="4"/>
      <c r="B51" s="91" t="s">
        <v>50</v>
      </c>
      <c r="C51" s="57"/>
      <c r="D51" s="57"/>
      <c r="E51" s="99">
        <f>VLOOKUP(E49,V4:X55,3)</f>
        <v>19260</v>
      </c>
      <c r="F51" s="4"/>
      <c r="G51" s="125" t="str">
        <f>IF(P51&gt;0,P51&amp;" spaces short",P51*-1&amp;" spaces long")</f>
        <v>740 spaces long</v>
      </c>
      <c r="H51" s="4"/>
      <c r="I51" s="86"/>
      <c r="J51" s="86"/>
      <c r="K51" s="91" t="s">
        <v>76</v>
      </c>
      <c r="L51" s="57"/>
      <c r="M51" s="58">
        <f>VLOOKUP(E49,R4:U55,4)</f>
        <v>1070.8800000000001</v>
      </c>
      <c r="N51" s="32"/>
      <c r="O51" s="32"/>
      <c r="P51" s="69">
        <f>E51-E28</f>
        <v>-740</v>
      </c>
      <c r="Q51" s="69" t="s">
        <v>25</v>
      </c>
      <c r="R51" s="69">
        <f t="shared" si="22"/>
        <v>48</v>
      </c>
      <c r="S51" s="69">
        <f t="shared" si="58"/>
        <v>1100</v>
      </c>
      <c r="T51" s="69">
        <f t="shared" si="57"/>
        <v>1056</v>
      </c>
      <c r="U51" s="70">
        <f t="shared" si="59"/>
        <v>1003.1999999999999</v>
      </c>
      <c r="V51" s="70">
        <f t="shared" si="24"/>
        <v>48</v>
      </c>
      <c r="W51" s="69">
        <f t="shared" si="25"/>
        <v>5500</v>
      </c>
      <c r="X51" s="69">
        <f t="shared" si="37"/>
        <v>22560</v>
      </c>
      <c r="Y51" s="69"/>
      <c r="Z51" s="69"/>
      <c r="AA51" s="69">
        <f t="shared" si="26"/>
        <v>0</v>
      </c>
      <c r="AB51" s="69">
        <f t="shared" si="28"/>
        <v>0</v>
      </c>
      <c r="AC51" s="69">
        <f t="shared" si="29"/>
        <v>0</v>
      </c>
      <c r="AD51" s="69">
        <f t="shared" si="30"/>
        <v>0</v>
      </c>
      <c r="AE51" s="69">
        <f t="shared" si="32"/>
        <v>0</v>
      </c>
      <c r="AF51" s="69">
        <f t="shared" si="33"/>
        <v>0</v>
      </c>
      <c r="AG51" s="69"/>
      <c r="AH51" s="69">
        <f t="shared" si="38"/>
        <v>1164</v>
      </c>
      <c r="AI51" s="69">
        <f t="shared" si="39"/>
        <v>1164</v>
      </c>
      <c r="AJ51" s="69">
        <f t="shared" si="40"/>
        <v>1164</v>
      </c>
      <c r="AK51" s="69">
        <f t="shared" si="41"/>
        <v>1164</v>
      </c>
      <c r="AL51" s="69">
        <f t="shared" si="42"/>
        <v>1164</v>
      </c>
      <c r="AM51" s="69">
        <f t="shared" si="43"/>
        <v>1164</v>
      </c>
      <c r="AN51" s="69">
        <f t="shared" si="44"/>
        <v>1164</v>
      </c>
      <c r="AO51" s="69">
        <f t="shared" si="45"/>
        <v>0</v>
      </c>
      <c r="AP51" s="69">
        <f t="shared" si="47"/>
        <v>0</v>
      </c>
      <c r="AQ51" s="69">
        <f t="shared" si="50"/>
        <v>0</v>
      </c>
      <c r="AR51" s="69">
        <f t="shared" si="51"/>
        <v>0</v>
      </c>
      <c r="AS51" s="69">
        <f t="shared" si="52"/>
        <v>0</v>
      </c>
      <c r="AT51" s="69">
        <f t="shared" si="54"/>
        <v>0</v>
      </c>
      <c r="AU51" s="69">
        <f t="shared" si="55"/>
        <v>0</v>
      </c>
      <c r="AV51" s="69" t="s">
        <v>147</v>
      </c>
      <c r="AW51" s="69"/>
      <c r="AX51" s="69"/>
      <c r="AY51" s="69"/>
      <c r="AZ51" s="69"/>
    </row>
    <row r="52" spans="1:52" ht="20.100000000000001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32"/>
      <c r="O52" s="32"/>
      <c r="P52" s="69"/>
      <c r="Q52" s="69" t="s">
        <v>25</v>
      </c>
      <c r="R52" s="69">
        <f t="shared" si="22"/>
        <v>49</v>
      </c>
      <c r="S52" s="69">
        <f t="shared" si="58"/>
        <v>1100</v>
      </c>
      <c r="T52" s="69">
        <f t="shared" si="57"/>
        <v>1056</v>
      </c>
      <c r="U52" s="70">
        <f t="shared" si="59"/>
        <v>1024.32</v>
      </c>
      <c r="V52" s="70">
        <f t="shared" si="24"/>
        <v>49</v>
      </c>
      <c r="W52" s="69">
        <f t="shared" si="25"/>
        <v>5500</v>
      </c>
      <c r="X52" s="69">
        <f t="shared" si="37"/>
        <v>22452</v>
      </c>
      <c r="Y52" s="69"/>
      <c r="Z52" s="69"/>
      <c r="AA52" s="69">
        <f t="shared" si="26"/>
        <v>0</v>
      </c>
      <c r="AB52" s="69">
        <f t="shared" si="28"/>
        <v>0</v>
      </c>
      <c r="AC52" s="69">
        <f t="shared" si="29"/>
        <v>0</v>
      </c>
      <c r="AD52" s="69">
        <f t="shared" si="30"/>
        <v>0</v>
      </c>
      <c r="AE52" s="69">
        <f t="shared" si="32"/>
        <v>0</v>
      </c>
      <c r="AF52" s="69">
        <f t="shared" si="33"/>
        <v>0</v>
      </c>
      <c r="AG52" s="69"/>
      <c r="AH52" s="69">
        <f t="shared" si="38"/>
        <v>1164</v>
      </c>
      <c r="AI52" s="69">
        <f t="shared" si="39"/>
        <v>1164</v>
      </c>
      <c r="AJ52" s="69">
        <f t="shared" si="40"/>
        <v>1164</v>
      </c>
      <c r="AK52" s="69">
        <f t="shared" si="41"/>
        <v>1164</v>
      </c>
      <c r="AL52" s="69">
        <f t="shared" si="42"/>
        <v>1164</v>
      </c>
      <c r="AM52" s="69">
        <f t="shared" si="43"/>
        <v>1164</v>
      </c>
      <c r="AN52" s="69">
        <f t="shared" si="44"/>
        <v>1164</v>
      </c>
      <c r="AO52" s="69">
        <f t="shared" si="45"/>
        <v>0</v>
      </c>
      <c r="AP52" s="69">
        <f t="shared" si="47"/>
        <v>0</v>
      </c>
      <c r="AQ52" s="69">
        <f t="shared" si="50"/>
        <v>0</v>
      </c>
      <c r="AR52" s="69">
        <f t="shared" si="51"/>
        <v>0</v>
      </c>
      <c r="AS52" s="69">
        <f t="shared" si="52"/>
        <v>0</v>
      </c>
      <c r="AT52" s="69">
        <f t="shared" si="54"/>
        <v>0</v>
      </c>
      <c r="AU52" s="69">
        <f t="shared" si="55"/>
        <v>0</v>
      </c>
      <c r="AV52" s="69" t="s">
        <v>147</v>
      </c>
      <c r="AW52" s="69"/>
      <c r="AX52" s="69"/>
      <c r="AY52" s="69"/>
      <c r="AZ52" s="69"/>
    </row>
    <row r="53" spans="1:52" ht="31.5" customHeight="1" thickBot="1">
      <c r="A53" s="4"/>
      <c r="B53" s="117" t="s">
        <v>111</v>
      </c>
      <c r="C53" s="7"/>
      <c r="D53" s="7"/>
      <c r="E53" s="7"/>
      <c r="F53" s="7"/>
      <c r="G53" s="7"/>
      <c r="H53" s="86"/>
      <c r="I53" s="117" t="s">
        <v>112</v>
      </c>
      <c r="J53" s="7"/>
      <c r="K53" s="7"/>
      <c r="L53" s="7"/>
      <c r="M53" s="7"/>
      <c r="N53" s="48"/>
      <c r="O53" s="32"/>
      <c r="P53" s="69"/>
      <c r="Q53" s="69" t="s">
        <v>25</v>
      </c>
      <c r="R53" s="69">
        <f t="shared" si="22"/>
        <v>50</v>
      </c>
      <c r="S53" s="69">
        <f t="shared" si="58"/>
        <v>1100</v>
      </c>
      <c r="T53" s="69">
        <f t="shared" si="57"/>
        <v>1056</v>
      </c>
      <c r="U53" s="70">
        <f t="shared" si="59"/>
        <v>1024.32</v>
      </c>
      <c r="V53" s="70">
        <f t="shared" si="24"/>
        <v>50</v>
      </c>
      <c r="W53" s="69">
        <f t="shared" si="25"/>
        <v>5500</v>
      </c>
      <c r="X53" s="69">
        <f t="shared" si="37"/>
        <v>22344</v>
      </c>
      <c r="Y53" s="69"/>
      <c r="Z53" s="69"/>
      <c r="AA53" s="69">
        <f t="shared" si="26"/>
        <v>0</v>
      </c>
      <c r="AB53" s="69">
        <f t="shared" si="28"/>
        <v>0</v>
      </c>
      <c r="AC53" s="69">
        <f t="shared" si="29"/>
        <v>0</v>
      </c>
      <c r="AD53" s="69">
        <f t="shared" si="30"/>
        <v>0</v>
      </c>
      <c r="AE53" s="69">
        <f t="shared" si="32"/>
        <v>0</v>
      </c>
      <c r="AF53" s="69">
        <f t="shared" si="33"/>
        <v>0</v>
      </c>
      <c r="AG53" s="69"/>
      <c r="AH53" s="69">
        <f t="shared" si="38"/>
        <v>1152</v>
      </c>
      <c r="AI53" s="69">
        <f t="shared" si="39"/>
        <v>1164</v>
      </c>
      <c r="AJ53" s="69">
        <f t="shared" si="40"/>
        <v>1164</v>
      </c>
      <c r="AK53" s="69">
        <f t="shared" si="41"/>
        <v>1164</v>
      </c>
      <c r="AL53" s="69">
        <f t="shared" si="42"/>
        <v>1164</v>
      </c>
      <c r="AM53" s="69">
        <f t="shared" si="43"/>
        <v>1164</v>
      </c>
      <c r="AN53" s="69">
        <f t="shared" si="44"/>
        <v>1164</v>
      </c>
      <c r="AO53" s="69">
        <f t="shared" si="45"/>
        <v>0</v>
      </c>
      <c r="AP53" s="69">
        <f t="shared" si="47"/>
        <v>0</v>
      </c>
      <c r="AQ53" s="69">
        <f t="shared" si="50"/>
        <v>0</v>
      </c>
      <c r="AR53" s="69">
        <f t="shared" si="51"/>
        <v>0</v>
      </c>
      <c r="AS53" s="69">
        <f t="shared" si="52"/>
        <v>0</v>
      </c>
      <c r="AT53" s="69">
        <f t="shared" si="54"/>
        <v>0</v>
      </c>
      <c r="AU53" s="69">
        <f t="shared" si="55"/>
        <v>0</v>
      </c>
      <c r="AV53" s="69" t="s">
        <v>147</v>
      </c>
      <c r="AW53" s="69"/>
      <c r="AX53" s="69"/>
      <c r="AY53" s="69"/>
      <c r="AZ53" s="69"/>
    </row>
    <row r="54" spans="1:52" ht="20.100000000000001" customHeight="1">
      <c r="A54" s="4"/>
      <c r="B54" s="4"/>
      <c r="C54" s="4"/>
      <c r="D54" s="6" t="s">
        <v>57</v>
      </c>
      <c r="E54" s="6" t="s">
        <v>58</v>
      </c>
      <c r="F54" s="4"/>
      <c r="G54" s="4"/>
      <c r="H54" s="4"/>
      <c r="I54" s="4"/>
      <c r="J54" s="4"/>
      <c r="K54" s="6" t="s">
        <v>57</v>
      </c>
      <c r="L54" s="6" t="s">
        <v>58</v>
      </c>
      <c r="M54" s="4"/>
      <c r="N54" s="32"/>
      <c r="O54" s="32"/>
      <c r="P54" s="69"/>
      <c r="Q54" s="69" t="s">
        <v>25</v>
      </c>
      <c r="R54" s="69">
        <f t="shared" si="22"/>
        <v>51</v>
      </c>
      <c r="S54" s="69">
        <f>E10*G13</f>
        <v>900</v>
      </c>
      <c r="T54" s="69">
        <f t="shared" ref="T54:T55" si="60">(1-$G$14)*S48</f>
        <v>1012</v>
      </c>
      <c r="U54" s="70">
        <f>(1-$G$14)*T26</f>
        <v>981.64</v>
      </c>
      <c r="V54" s="70">
        <f t="shared" si="24"/>
        <v>51</v>
      </c>
      <c r="W54" s="69">
        <f t="shared" si="25"/>
        <v>5300</v>
      </c>
      <c r="X54" s="69">
        <f t="shared" si="37"/>
        <v>22192</v>
      </c>
      <c r="Y54" s="69"/>
      <c r="Z54" s="69"/>
      <c r="AA54" s="69">
        <f t="shared" si="26"/>
        <v>0</v>
      </c>
      <c r="AB54" s="69">
        <f t="shared" si="28"/>
        <v>0</v>
      </c>
      <c r="AC54" s="69">
        <f t="shared" si="29"/>
        <v>0</v>
      </c>
      <c r="AD54" s="69">
        <f t="shared" si="30"/>
        <v>0</v>
      </c>
      <c r="AE54" s="69">
        <f t="shared" si="32"/>
        <v>0</v>
      </c>
      <c r="AF54" s="69">
        <f t="shared" si="33"/>
        <v>0</v>
      </c>
      <c r="AG54" s="69"/>
      <c r="AH54" s="69">
        <f t="shared" si="38"/>
        <v>1152</v>
      </c>
      <c r="AI54" s="69">
        <f t="shared" si="39"/>
        <v>1152</v>
      </c>
      <c r="AJ54" s="69">
        <f t="shared" si="40"/>
        <v>1164</v>
      </c>
      <c r="AK54" s="69">
        <f t="shared" si="41"/>
        <v>1164</v>
      </c>
      <c r="AL54" s="69">
        <f t="shared" si="42"/>
        <v>1164</v>
      </c>
      <c r="AM54" s="69">
        <f t="shared" si="43"/>
        <v>1164</v>
      </c>
      <c r="AN54" s="69">
        <f t="shared" si="44"/>
        <v>1164</v>
      </c>
      <c r="AO54" s="69">
        <f t="shared" si="45"/>
        <v>0</v>
      </c>
      <c r="AP54" s="69">
        <f t="shared" si="47"/>
        <v>0</v>
      </c>
      <c r="AQ54" s="69">
        <f t="shared" si="50"/>
        <v>0</v>
      </c>
      <c r="AR54" s="69">
        <f t="shared" si="51"/>
        <v>0</v>
      </c>
      <c r="AS54" s="69">
        <f t="shared" si="52"/>
        <v>0</v>
      </c>
      <c r="AT54" s="69">
        <f t="shared" si="54"/>
        <v>0</v>
      </c>
      <c r="AU54" s="69">
        <f t="shared" si="55"/>
        <v>0</v>
      </c>
      <c r="AV54" s="69" t="s">
        <v>147</v>
      </c>
      <c r="AW54" s="69"/>
      <c r="AX54" s="69"/>
      <c r="AY54" s="69"/>
      <c r="AZ54" s="69"/>
    </row>
    <row r="55" spans="1:52" ht="20.100000000000001" customHeight="1">
      <c r="A55" s="4"/>
      <c r="B55" s="41" t="s">
        <v>78</v>
      </c>
      <c r="C55" s="42"/>
      <c r="D55" s="31">
        <v>4400</v>
      </c>
      <c r="E55" s="31">
        <v>1800</v>
      </c>
      <c r="F55" s="43" t="s">
        <v>2</v>
      </c>
      <c r="G55" s="4"/>
      <c r="H55" s="4"/>
      <c r="I55" s="41" t="s">
        <v>7</v>
      </c>
      <c r="J55" s="42"/>
      <c r="K55" s="31">
        <v>4</v>
      </c>
      <c r="L55" s="31">
        <v>9</v>
      </c>
      <c r="M55" s="43" t="s">
        <v>8</v>
      </c>
      <c r="N55" s="32"/>
      <c r="O55" s="32"/>
      <c r="P55" s="69"/>
      <c r="Q55" s="69" t="s">
        <v>25</v>
      </c>
      <c r="R55" s="69">
        <f t="shared" si="22"/>
        <v>52</v>
      </c>
      <c r="S55" s="69">
        <f>S54</f>
        <v>900</v>
      </c>
      <c r="T55" s="69">
        <f t="shared" si="60"/>
        <v>1012</v>
      </c>
      <c r="U55" s="70">
        <f>(1-$G$14)*T27</f>
        <v>981.64</v>
      </c>
      <c r="V55" s="70">
        <f t="shared" si="24"/>
        <v>52</v>
      </c>
      <c r="W55" s="69">
        <f t="shared" si="25"/>
        <v>5100</v>
      </c>
      <c r="X55" s="69">
        <f t="shared" si="37"/>
        <v>22040</v>
      </c>
      <c r="Y55" s="69"/>
      <c r="Z55" s="69"/>
      <c r="AA55" s="69">
        <f t="shared" si="26"/>
        <v>0</v>
      </c>
      <c r="AB55" s="69">
        <f t="shared" si="28"/>
        <v>0</v>
      </c>
      <c r="AC55" s="69">
        <f t="shared" si="29"/>
        <v>0</v>
      </c>
      <c r="AD55" s="69">
        <f t="shared" si="30"/>
        <v>0</v>
      </c>
      <c r="AE55" s="69">
        <f t="shared" si="32"/>
        <v>0</v>
      </c>
      <c r="AF55" s="69">
        <f t="shared" si="33"/>
        <v>0</v>
      </c>
      <c r="AG55" s="69"/>
      <c r="AH55" s="69">
        <f t="shared" si="38"/>
        <v>1152</v>
      </c>
      <c r="AI55" s="69">
        <f t="shared" si="39"/>
        <v>1152</v>
      </c>
      <c r="AJ55" s="69">
        <f t="shared" si="40"/>
        <v>1152</v>
      </c>
      <c r="AK55" s="69">
        <f t="shared" si="41"/>
        <v>1164</v>
      </c>
      <c r="AL55" s="69">
        <f t="shared" si="42"/>
        <v>1164</v>
      </c>
      <c r="AM55" s="69">
        <f t="shared" si="43"/>
        <v>1164</v>
      </c>
      <c r="AN55" s="69">
        <f t="shared" si="44"/>
        <v>1164</v>
      </c>
      <c r="AO55" s="69">
        <f t="shared" si="45"/>
        <v>0</v>
      </c>
      <c r="AP55" s="69">
        <f t="shared" si="47"/>
        <v>0</v>
      </c>
      <c r="AQ55" s="69">
        <f t="shared" si="50"/>
        <v>0</v>
      </c>
      <c r="AR55" s="69">
        <f t="shared" si="51"/>
        <v>0</v>
      </c>
      <c r="AS55" s="69">
        <f t="shared" si="52"/>
        <v>0</v>
      </c>
      <c r="AT55" s="69">
        <f t="shared" si="54"/>
        <v>0</v>
      </c>
      <c r="AU55" s="69">
        <f t="shared" si="55"/>
        <v>0</v>
      </c>
      <c r="AV55" s="69" t="s">
        <v>147</v>
      </c>
      <c r="AW55" s="69"/>
      <c r="AX55" s="69"/>
      <c r="AY55" s="69"/>
      <c r="AZ55" s="69"/>
    </row>
    <row r="56" spans="1:52" ht="20.100000000000001" customHeight="1">
      <c r="A56" s="4"/>
      <c r="B56" s="5" t="s">
        <v>94</v>
      </c>
      <c r="C56" s="4"/>
      <c r="D56" s="46">
        <f>D55/L23-1</f>
        <v>0.10000000000000009</v>
      </c>
      <c r="E56" s="46">
        <f>E55/M23-1</f>
        <v>-9.9999999999999978E-2</v>
      </c>
      <c r="F56" s="10"/>
      <c r="G56" s="4"/>
      <c r="H56" s="4"/>
      <c r="I56" s="5" t="s">
        <v>9</v>
      </c>
      <c r="J56" s="4"/>
      <c r="K56" s="49">
        <f>IF(K55&gt;4,4-L24,K55-L24)</f>
        <v>0.5</v>
      </c>
      <c r="L56" s="49">
        <f>IF(L55&gt;9,9-M24,L55-M24)</f>
        <v>1</v>
      </c>
      <c r="M56" s="10" t="s">
        <v>8</v>
      </c>
      <c r="N56" s="32"/>
      <c r="O56" s="32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>
        <f t="shared" si="48"/>
        <v>0</v>
      </c>
      <c r="AW56" s="69"/>
      <c r="AX56" s="69"/>
      <c r="AY56" s="69"/>
      <c r="AZ56" s="69"/>
    </row>
    <row r="57" spans="1:52" ht="20.100000000000001" customHeight="1">
      <c r="A57" s="4"/>
      <c r="B57" s="41" t="s">
        <v>79</v>
      </c>
      <c r="C57" s="42"/>
      <c r="D57" s="47">
        <f>IF(D55="","",L25/D55)</f>
        <v>3.1818181818181817</v>
      </c>
      <c r="E57" s="47">
        <f>IF(E55="","",M25/E55)</f>
        <v>8.8888888888888893</v>
      </c>
      <c r="F57" s="10" t="s">
        <v>8</v>
      </c>
      <c r="G57" s="4"/>
      <c r="H57" s="4"/>
      <c r="I57" s="4"/>
      <c r="J57" s="4"/>
      <c r="K57" s="4"/>
      <c r="L57" s="4"/>
      <c r="M57" s="4"/>
      <c r="N57" s="32"/>
      <c r="O57" s="32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</row>
    <row r="58" spans="1:52" ht="20.100000000000001" customHeight="1">
      <c r="A58" s="4"/>
      <c r="B58" s="5" t="s">
        <v>9</v>
      </c>
      <c r="C58" s="4"/>
      <c r="D58" s="49">
        <f>IF(D57&gt;4,4-L24,D57-L24)</f>
        <v>-0.31818181818181834</v>
      </c>
      <c r="E58" s="49">
        <f>IF(E57&gt;9,9-M24,E57-M24)</f>
        <v>0.88888888888888928</v>
      </c>
      <c r="F58" s="10" t="s">
        <v>8</v>
      </c>
      <c r="G58" s="4"/>
      <c r="H58" s="4"/>
      <c r="I58" s="4"/>
      <c r="J58" s="4"/>
      <c r="K58" s="4"/>
      <c r="L58" s="61">
        <f>IF(OR(K55="",K55=0),(L56*M27+E19)*N15+E18,(L56*M27+E19)*N15+K62)</f>
        <v>294.00900000000001</v>
      </c>
      <c r="M58" s="4"/>
      <c r="N58" s="32"/>
      <c r="O58" s="32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</row>
    <row r="59" spans="1:52" ht="20.100000000000001" customHeight="1">
      <c r="A59" s="4"/>
      <c r="B59" s="4"/>
      <c r="C59" s="4"/>
      <c r="D59" s="4"/>
      <c r="E59" s="61">
        <f>IF(OR(D55="",D55=0),(E58*M27+E19)*N15+E18,(E58*M27+E19)*N15+D62)</f>
        <v>291.13422727272729</v>
      </c>
      <c r="F59" s="4"/>
      <c r="G59" s="4"/>
      <c r="H59" s="4"/>
      <c r="I59" s="5" t="s">
        <v>87</v>
      </c>
      <c r="J59" s="4"/>
      <c r="K59" s="59">
        <f>L25/K55</f>
        <v>3500</v>
      </c>
      <c r="L59" s="59">
        <f>M25/L55</f>
        <v>1777.7777777777778</v>
      </c>
      <c r="M59" s="10" t="s">
        <v>2</v>
      </c>
      <c r="N59" s="32"/>
      <c r="O59" s="32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</row>
    <row r="60" spans="1:52" ht="20.100000000000001" customHeight="1">
      <c r="A60" s="4"/>
      <c r="B60" s="5" t="s">
        <v>89</v>
      </c>
      <c r="C60" s="4"/>
      <c r="D60" s="60">
        <f>(D19+M27*D58)</f>
        <v>1.0051958874458873</v>
      </c>
      <c r="E60" s="60">
        <f>E58*M27+E19</f>
        <v>1.7587669172932332</v>
      </c>
      <c r="F60" s="10" t="s">
        <v>90</v>
      </c>
      <c r="G60" s="4"/>
      <c r="H60" s="4"/>
      <c r="I60" s="5" t="s">
        <v>89</v>
      </c>
      <c r="J60" s="4"/>
      <c r="K60" s="60">
        <f>(D19+M27*K56)</f>
        <v>1.0530595238095237</v>
      </c>
      <c r="L60" s="60">
        <f>(L56*M27+E19)</f>
        <v>1.7652669172932332</v>
      </c>
      <c r="M60" s="10" t="s">
        <v>90</v>
      </c>
      <c r="N60" s="32"/>
      <c r="O60" s="32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</row>
    <row r="61" spans="1:52" ht="20.100000000000001" customHeight="1">
      <c r="A61" s="4"/>
      <c r="B61" s="5" t="s">
        <v>85</v>
      </c>
      <c r="C61" s="4"/>
      <c r="D61" s="60">
        <f>D58*M28+D20</f>
        <v>2.0229090909090908</v>
      </c>
      <c r="E61" s="60">
        <f>E58*M28+E20</f>
        <v>2.3359999999999999</v>
      </c>
      <c r="F61" s="10"/>
      <c r="G61" s="4"/>
      <c r="H61" s="4"/>
      <c r="I61" s="5" t="s">
        <v>85</v>
      </c>
      <c r="J61" s="4"/>
      <c r="K61" s="60">
        <f>K56*M28+D20</f>
        <v>1.964</v>
      </c>
      <c r="L61" s="60">
        <f>L56*M28+E20</f>
        <v>2.3279999999999998</v>
      </c>
      <c r="M61" s="10"/>
      <c r="N61" s="32"/>
      <c r="O61" s="32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</row>
    <row r="62" spans="1:52" ht="20.100000000000001" customHeight="1">
      <c r="A62" s="4"/>
      <c r="B62" s="5" t="s">
        <v>10</v>
      </c>
      <c r="C62" s="4"/>
      <c r="D62" s="47">
        <f>(D19+M27*D58)*N14+D18</f>
        <v>57.218227272727269</v>
      </c>
      <c r="E62" s="47">
        <f>IF(E59&gt;N19,N19,E59)</f>
        <v>291.13422727272729</v>
      </c>
      <c r="F62" s="10" t="s">
        <v>5</v>
      </c>
      <c r="G62" s="4"/>
      <c r="H62" s="4"/>
      <c r="I62" s="5" t="s">
        <v>10</v>
      </c>
      <c r="J62" s="4"/>
      <c r="K62" s="47">
        <f>(D19+M27*K56)*N14+D18</f>
        <v>59.228499999999997</v>
      </c>
      <c r="L62" s="47">
        <f>IF(L58&gt;N19,N19,L58)</f>
        <v>294.00900000000001</v>
      </c>
      <c r="M62" s="10" t="s">
        <v>5</v>
      </c>
      <c r="N62" s="32"/>
      <c r="O62" s="32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</row>
    <row r="63" spans="1:52" ht="20.100000000000001" customHeight="1">
      <c r="A63" s="4"/>
      <c r="B63" s="5" t="s">
        <v>91</v>
      </c>
      <c r="C63" s="4"/>
      <c r="D63" s="59">
        <v>0</v>
      </c>
      <c r="E63" s="59">
        <f>IF(E62&lt;L19,(L19-E62)/E60,IF(E62&lt;E59,(E62-E59)/E60,0))</f>
        <v>0</v>
      </c>
      <c r="F63" s="10" t="s">
        <v>88</v>
      </c>
      <c r="G63" s="4"/>
      <c r="H63" s="4"/>
      <c r="I63" s="5" t="s">
        <v>91</v>
      </c>
      <c r="J63" s="4"/>
      <c r="K63" s="45">
        <v>0</v>
      </c>
      <c r="L63" s="59">
        <f>IF(L62&lt;L19,(L19-L62)/L60,IF(L62&lt;L58,(L62-L58)/L60,0))</f>
        <v>0</v>
      </c>
      <c r="M63" s="10" t="s">
        <v>88</v>
      </c>
      <c r="N63" s="32"/>
      <c r="O63" s="32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</row>
    <row r="64" spans="1:52" ht="20.100000000000001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32"/>
      <c r="O64" s="32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</row>
    <row r="65" spans="1:52" ht="20.100000000000001" customHeight="1" thickBot="1">
      <c r="A65" s="4"/>
      <c r="B65" s="11" t="s">
        <v>86</v>
      </c>
      <c r="C65" s="7"/>
      <c r="D65" s="7"/>
      <c r="E65" s="7"/>
      <c r="F65" s="4"/>
      <c r="G65" s="4"/>
      <c r="H65" s="4"/>
      <c r="I65" s="11" t="s">
        <v>86</v>
      </c>
      <c r="J65" s="7"/>
      <c r="K65" s="7"/>
      <c r="L65" s="7"/>
      <c r="M65" s="4"/>
      <c r="N65" s="32"/>
      <c r="O65" s="32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</row>
    <row r="66" spans="1:52" ht="20.100000000000001" customHeight="1">
      <c r="A66" s="4"/>
      <c r="B66" s="5" t="s">
        <v>11</v>
      </c>
      <c r="C66" s="4"/>
      <c r="D66" s="73">
        <f>((D62-E18)*D26*0.01)*100</f>
        <v>-78.177272727273106</v>
      </c>
      <c r="E66" s="73">
        <f>((E62-L18)*E26*0.01)*100</f>
        <v>306.71136363636435</v>
      </c>
      <c r="F66" s="4"/>
      <c r="G66" s="4"/>
      <c r="H66" s="4"/>
      <c r="I66" s="5" t="s">
        <v>11</v>
      </c>
      <c r="J66" s="4"/>
      <c r="K66" s="73">
        <f>((K62-E18)*D26*0.01)*100</f>
        <v>122.84999999999968</v>
      </c>
      <c r="L66" s="73">
        <f>((L62-L18)*E26*0.01)*100</f>
        <v>450.45000000000073</v>
      </c>
      <c r="M66" s="4"/>
      <c r="N66" s="32"/>
      <c r="O66" s="32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</row>
    <row r="67" spans="1:52" ht="20.100000000000001" customHeight="1">
      <c r="A67" s="4"/>
      <c r="B67" s="5" t="s">
        <v>92</v>
      </c>
      <c r="C67" s="4"/>
      <c r="D67" s="74">
        <f>D63*D23*100</f>
        <v>0</v>
      </c>
      <c r="E67" s="74">
        <f>E63*E23*100</f>
        <v>0</v>
      </c>
      <c r="F67" s="4"/>
      <c r="G67" s="4"/>
      <c r="H67" s="4"/>
      <c r="I67" s="5" t="s">
        <v>92</v>
      </c>
      <c r="J67" s="4"/>
      <c r="K67" s="74">
        <f>K63*D23*100</f>
        <v>0</v>
      </c>
      <c r="L67" s="74">
        <f>L63*E23*100</f>
        <v>0</v>
      </c>
      <c r="M67" s="4"/>
      <c r="N67" s="32"/>
      <c r="O67" s="32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</row>
    <row r="68" spans="1:52" ht="20.100000000000001" customHeight="1">
      <c r="A68" s="4"/>
      <c r="B68" s="5" t="s">
        <v>93</v>
      </c>
      <c r="C68" s="4"/>
      <c r="D68" s="74">
        <f>(D61-D20)*(D24/2000)*(D62-D18)*100</f>
        <v>9.6718120661156419</v>
      </c>
      <c r="E68" s="74">
        <f>IF(OR(D55="",D55=0),(E61-E20)*(E24/2000)*(E62-E18)*100,(E61-E20)*(E24/2000)*(E62-D62)*100)</f>
        <v>-134.73561600000014</v>
      </c>
      <c r="F68" s="4"/>
      <c r="G68" s="4"/>
      <c r="H68" s="4"/>
      <c r="I68" s="5" t="s">
        <v>93</v>
      </c>
      <c r="J68" s="4"/>
      <c r="K68" s="74">
        <f>(K61-D20)*(D24/2000)*(K62-D18)*100</f>
        <v>-15.922260000000014</v>
      </c>
      <c r="L68" s="74">
        <f>IF(OR(K55="",K55=0),(L61-E20)*(E24/2000)*(L62-E18)*100,(L61-E20)*(E24/2000)*(L62-K62)*100)</f>
        <v>-152.13776400000015</v>
      </c>
      <c r="M68" s="4"/>
      <c r="N68" s="32"/>
      <c r="O68" s="32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</row>
    <row r="69" spans="1:52" ht="20.100000000000001" customHeight="1">
      <c r="A69" s="4"/>
      <c r="B69" s="41" t="s">
        <v>12</v>
      </c>
      <c r="C69" s="42"/>
      <c r="D69" s="74">
        <f>(M30*D58)*100*D41</f>
        <v>-20.669090909090922</v>
      </c>
      <c r="E69" s="74">
        <f>(N30*E58)*100*E41</f>
        <v>159.60000000000008</v>
      </c>
      <c r="F69" s="42"/>
      <c r="G69" s="4"/>
      <c r="H69" s="4"/>
      <c r="I69" s="41" t="s">
        <v>12</v>
      </c>
      <c r="J69" s="42"/>
      <c r="K69" s="74">
        <f>(M30*K56)*100*D41</f>
        <v>32.480000000000004</v>
      </c>
      <c r="L69" s="74">
        <f>(N30*L56)*100*E41</f>
        <v>179.55</v>
      </c>
      <c r="M69" s="42"/>
      <c r="N69" s="32"/>
      <c r="O69" s="32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</row>
    <row r="70" spans="1:52" ht="20.100000000000001" customHeight="1">
      <c r="A70" s="4"/>
      <c r="B70" s="128" t="s">
        <v>150</v>
      </c>
      <c r="C70" s="129"/>
      <c r="D70" s="13">
        <f>D66+D67+D68+D69</f>
        <v>-89.174551570248383</v>
      </c>
      <c r="E70" s="13">
        <f>E66+E67+E68+E69</f>
        <v>331.57574763636433</v>
      </c>
      <c r="F70" s="14" t="s">
        <v>6</v>
      </c>
      <c r="G70" s="4"/>
      <c r="H70" s="4"/>
      <c r="I70" s="128" t="s">
        <v>150</v>
      </c>
      <c r="J70" s="129"/>
      <c r="K70" s="13">
        <f>K66+K67+K68+K69</f>
        <v>139.40773999999968</v>
      </c>
      <c r="L70" s="13">
        <f>L66+L67+L68+L69</f>
        <v>477.86223600000056</v>
      </c>
      <c r="M70" s="14" t="s">
        <v>6</v>
      </c>
      <c r="N70" s="32"/>
      <c r="O70" s="32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</row>
    <row r="71" spans="1:52" ht="20.100000000000001" customHeight="1">
      <c r="A71" s="4"/>
      <c r="B71" s="12" t="s">
        <v>149</v>
      </c>
      <c r="C71" s="127"/>
      <c r="D71" s="130">
        <f>(D55/L23*D28)/G10</f>
        <v>1.9461538461538459</v>
      </c>
      <c r="E71" s="130">
        <f>(E55/M23*E28)/G10</f>
        <v>7.9615384615384608</v>
      </c>
      <c r="F71" s="4"/>
      <c r="G71" s="4"/>
      <c r="H71" s="4"/>
      <c r="I71" s="12" t="s">
        <v>149</v>
      </c>
      <c r="J71" s="127"/>
      <c r="K71" s="130">
        <f>(K59/L23*D28)/G10</f>
        <v>1.5480769230769229</v>
      </c>
      <c r="L71" s="130">
        <f>(L59/M23*E28)/G10</f>
        <v>7.8632478632478628</v>
      </c>
      <c r="M71" s="4"/>
      <c r="N71" s="32"/>
      <c r="O71" s="32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</row>
    <row r="72" spans="1:52" ht="20.100000000000001" customHeight="1" thickBot="1">
      <c r="A72" s="4"/>
      <c r="B72" s="11" t="s">
        <v>104</v>
      </c>
      <c r="C72" s="77"/>
      <c r="D72" s="77"/>
      <c r="E72" s="77"/>
      <c r="F72" s="39"/>
      <c r="G72" s="39"/>
      <c r="H72" s="4"/>
      <c r="I72" s="11" t="s">
        <v>104</v>
      </c>
      <c r="J72" s="77"/>
      <c r="K72" s="77"/>
      <c r="L72" s="77"/>
      <c r="M72" s="39"/>
      <c r="N72" s="32"/>
      <c r="O72" s="32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</row>
    <row r="73" spans="1:52" ht="20.100000000000001" customHeight="1">
      <c r="A73" s="39"/>
      <c r="B73" s="40" t="s">
        <v>102</v>
      </c>
      <c r="C73" s="39"/>
      <c r="D73" s="76">
        <f>E18*L23*(1-H14)*D26*0.01</f>
        <v>220400</v>
      </c>
      <c r="E73" s="76">
        <f>M23*(1-H15)*L18*E26*0.01</f>
        <v>270037.5</v>
      </c>
      <c r="F73" s="39"/>
      <c r="G73" s="39"/>
      <c r="H73" s="4"/>
      <c r="I73" s="40" t="s">
        <v>102</v>
      </c>
      <c r="J73" s="39"/>
      <c r="K73" s="76">
        <f>E18*L23*(1-H14)*D26*0.01</f>
        <v>220400</v>
      </c>
      <c r="L73" s="76">
        <f>M23*(1-H15)*L18*E26*0.01</f>
        <v>270037.5</v>
      </c>
      <c r="M73" s="39"/>
      <c r="N73" s="39"/>
      <c r="O73" s="3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</row>
    <row r="74" spans="1:52" ht="20.100000000000001" customHeight="1">
      <c r="A74" s="39"/>
      <c r="B74" s="72" t="s">
        <v>103</v>
      </c>
      <c r="C74" s="71"/>
      <c r="D74" s="75">
        <f>E18*L23*(1-H14)*D25*0.01</f>
        <v>176320</v>
      </c>
      <c r="E74" s="75">
        <f>M23*(1-H15)*L18*E25*0.01</f>
        <v>243033.75</v>
      </c>
      <c r="F74" s="39"/>
      <c r="G74" s="39"/>
      <c r="H74" s="4"/>
      <c r="I74" s="72" t="s">
        <v>103</v>
      </c>
      <c r="J74" s="71"/>
      <c r="K74" s="75">
        <f>E18*L23*(1-H14)*D25*0.01</f>
        <v>176320</v>
      </c>
      <c r="L74" s="75">
        <f>M23*(1-H15)*L18*E25*0.01</f>
        <v>243033.75</v>
      </c>
      <c r="M74" s="39"/>
      <c r="N74" s="39"/>
      <c r="O74" s="3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</row>
    <row r="75" spans="1:52" ht="20.100000000000001" customHeight="1">
      <c r="A75" s="39"/>
      <c r="B75" s="80" t="s">
        <v>108</v>
      </c>
      <c r="C75" s="80"/>
      <c r="D75" s="82">
        <f>D73-D74</f>
        <v>44080</v>
      </c>
      <c r="E75" s="82">
        <f>E73-E74</f>
        <v>27003.75</v>
      </c>
      <c r="F75" s="39"/>
      <c r="G75" s="39"/>
      <c r="H75" s="4"/>
      <c r="I75" s="80" t="s">
        <v>108</v>
      </c>
      <c r="J75" s="80"/>
      <c r="K75" s="82">
        <f>K73-K74</f>
        <v>44080</v>
      </c>
      <c r="L75" s="82">
        <f>L73-L74</f>
        <v>27003.75</v>
      </c>
      <c r="M75" s="39"/>
      <c r="N75" s="39"/>
      <c r="O75" s="3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</row>
    <row r="76" spans="1:52" ht="20.100000000000001" customHeight="1">
      <c r="A76" s="39"/>
      <c r="B76" s="40" t="s">
        <v>105</v>
      </c>
      <c r="C76" s="40"/>
      <c r="D76" s="78">
        <f>L23*(1-H14)</f>
        <v>3800</v>
      </c>
      <c r="E76" s="78">
        <f>M23*(1-H15)</f>
        <v>1895</v>
      </c>
      <c r="F76" s="39"/>
      <c r="G76" s="39"/>
      <c r="H76" s="4"/>
      <c r="I76" s="40" t="s">
        <v>105</v>
      </c>
      <c r="J76" s="40"/>
      <c r="K76" s="78">
        <f>L23*(1-H14)</f>
        <v>3800</v>
      </c>
      <c r="L76" s="78">
        <f>M23*(1-H15)</f>
        <v>1895</v>
      </c>
      <c r="M76" s="39"/>
      <c r="N76" s="39"/>
      <c r="O76" s="3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</row>
    <row r="77" spans="1:52" ht="20.100000000000001" customHeight="1">
      <c r="A77" s="39"/>
      <c r="B77" s="4"/>
      <c r="C77" s="4"/>
      <c r="D77" s="79">
        <f>D75/D76</f>
        <v>11.6</v>
      </c>
      <c r="E77" s="79">
        <f>E75/E76</f>
        <v>14.25</v>
      </c>
      <c r="F77" s="39"/>
      <c r="G77" s="39"/>
      <c r="H77" s="4"/>
      <c r="I77" s="5"/>
      <c r="J77" s="4"/>
      <c r="K77" s="79">
        <f>K75/K76</f>
        <v>11.6</v>
      </c>
      <c r="L77" s="79">
        <f>L75/L76</f>
        <v>14.25</v>
      </c>
      <c r="M77" s="39"/>
      <c r="N77" s="39"/>
      <c r="O77" s="3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</row>
    <row r="78" spans="1:52" ht="20.100000000000001" customHeight="1">
      <c r="A78" s="39"/>
      <c r="B78" s="80" t="s">
        <v>107</v>
      </c>
      <c r="C78" s="81"/>
      <c r="D78" s="82">
        <f>(D77+D70*0.01)*D79</f>
        <v>44550.621956471383</v>
      </c>
      <c r="E78" s="82">
        <f>(E77+E70*0.01)*E79</f>
        <v>30351.872343408741</v>
      </c>
      <c r="F78" s="39"/>
      <c r="G78" s="39"/>
      <c r="H78" s="4"/>
      <c r="I78" s="80" t="s">
        <v>107</v>
      </c>
      <c r="J78" s="81"/>
      <c r="K78" s="82">
        <f>(K77+K70*0.01)*K79</f>
        <v>43523.662251299989</v>
      </c>
      <c r="L78" s="82">
        <f>(L77+L70*0.01)*L79</f>
        <v>32526.258487360014</v>
      </c>
      <c r="M78" s="39"/>
      <c r="N78" s="39"/>
      <c r="O78" s="3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</row>
    <row r="79" spans="1:52" ht="20.100000000000001" customHeight="1">
      <c r="A79" s="39"/>
      <c r="B79" s="5" t="s">
        <v>106</v>
      </c>
      <c r="C79" s="4"/>
      <c r="D79" s="44">
        <f>D55*(1-H14+M30*D58)</f>
        <v>4160.3999999999996</v>
      </c>
      <c r="E79" s="44">
        <f>E55*(1-H15+N30*E58)</f>
        <v>1727.9</v>
      </c>
      <c r="F79" s="39"/>
      <c r="G79" s="39"/>
      <c r="H79" s="4"/>
      <c r="I79" s="5" t="s">
        <v>106</v>
      </c>
      <c r="J79" s="4"/>
      <c r="K79" s="44">
        <f>K59*(1-H14+M30*K56)</f>
        <v>3349.5</v>
      </c>
      <c r="L79" s="44">
        <f>L59*(1-H15+N30*L56)</f>
        <v>1709.3333333333335</v>
      </c>
      <c r="M79" s="39"/>
      <c r="N79" s="39"/>
      <c r="O79" s="39"/>
    </row>
    <row r="80" spans="1:52" ht="20.100000000000001" customHeight="1">
      <c r="A80" s="39"/>
      <c r="B80" s="4"/>
      <c r="C80" s="4"/>
      <c r="D80" s="4"/>
      <c r="E80" s="4"/>
      <c r="F80" s="39"/>
      <c r="G80" s="39"/>
      <c r="H80" s="4"/>
      <c r="I80" s="4"/>
      <c r="J80" s="4"/>
      <c r="K80" s="4"/>
      <c r="L80" s="4"/>
      <c r="M80" s="39"/>
      <c r="N80" s="39"/>
      <c r="O80" s="39"/>
    </row>
    <row r="81" spans="1:23" ht="20.100000000000001" customHeight="1" thickBot="1">
      <c r="A81" s="39"/>
      <c r="B81" s="84" t="s">
        <v>127</v>
      </c>
      <c r="C81" s="77"/>
      <c r="D81" s="7"/>
      <c r="E81" s="7"/>
      <c r="F81" s="39"/>
      <c r="G81" s="39"/>
      <c r="H81" s="4"/>
      <c r="I81" s="84" t="s">
        <v>127</v>
      </c>
      <c r="J81" s="77"/>
      <c r="K81" s="7"/>
      <c r="L81" s="7"/>
      <c r="M81" s="39"/>
      <c r="N81" s="39"/>
      <c r="O81" s="39"/>
    </row>
    <row r="82" spans="1:23" ht="20.100000000000001" customHeight="1">
      <c r="A82" s="39"/>
      <c r="B82" s="5" t="s">
        <v>109</v>
      </c>
      <c r="C82" s="4"/>
      <c r="D82" s="83">
        <f>D55-L23</f>
        <v>400</v>
      </c>
      <c r="E82" s="83">
        <f>E55-M23</f>
        <v>-200</v>
      </c>
      <c r="F82" s="39"/>
      <c r="G82" s="39"/>
      <c r="H82" s="4"/>
      <c r="I82" s="5" t="s">
        <v>109</v>
      </c>
      <c r="J82" s="4"/>
      <c r="K82" s="83">
        <f>K59-L23</f>
        <v>-500</v>
      </c>
      <c r="L82" s="83">
        <f>L59-M23</f>
        <v>-222.22222222222217</v>
      </c>
      <c r="M82" s="39"/>
      <c r="N82" s="39"/>
      <c r="O82" s="39"/>
    </row>
    <row r="83" spans="1:23" ht="20.100000000000001" customHeight="1">
      <c r="A83" s="39"/>
      <c r="B83" s="40" t="s">
        <v>110</v>
      </c>
      <c r="C83" s="39"/>
      <c r="D83" s="83">
        <f>D79-D76</f>
        <v>360.39999999999964</v>
      </c>
      <c r="E83" s="83">
        <f>E79-E76</f>
        <v>-167.09999999999991</v>
      </c>
      <c r="F83" s="39"/>
      <c r="G83" s="39"/>
      <c r="H83" s="4"/>
      <c r="I83" s="40" t="s">
        <v>110</v>
      </c>
      <c r="J83" s="39"/>
      <c r="K83" s="83">
        <f>K79-K76</f>
        <v>-450.5</v>
      </c>
      <c r="L83" s="83">
        <f>L79-L76</f>
        <v>-185.66666666666652</v>
      </c>
      <c r="M83" s="39"/>
      <c r="N83" s="39"/>
      <c r="O83" s="39"/>
    </row>
    <row r="84" spans="1:23" ht="20.100000000000001" customHeight="1">
      <c r="A84" s="39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39"/>
      <c r="O84" s="39"/>
    </row>
    <row r="85" spans="1:23" ht="20.100000000000001" customHeight="1">
      <c r="A85" s="39"/>
      <c r="B85" s="40" t="s">
        <v>123</v>
      </c>
      <c r="C85" s="39"/>
      <c r="D85" s="78">
        <f>IF(D82&lt;0,D82,0)*-1</f>
        <v>0</v>
      </c>
      <c r="E85" s="78">
        <f>IF(E82&lt;0,E82,0)*-1</f>
        <v>200</v>
      </c>
      <c r="F85" s="62">
        <f>D78/D79</f>
        <v>10.708254484297516</v>
      </c>
      <c r="G85" s="62">
        <f>E78/E79</f>
        <v>17.565757476363643</v>
      </c>
      <c r="H85" s="39"/>
      <c r="I85" s="40" t="s">
        <v>123</v>
      </c>
      <c r="J85" s="39"/>
      <c r="K85" s="118">
        <f>IF(K82&lt;0,K82,0)*-1</f>
        <v>500</v>
      </c>
      <c r="L85" s="118">
        <f>IF(L82&lt;0,L82,0)*-1</f>
        <v>222.22222222222217</v>
      </c>
      <c r="M85" s="62">
        <f>K78/K79</f>
        <v>12.994077399999997</v>
      </c>
      <c r="N85" s="62">
        <f>L78/L79</f>
        <v>19.028622360000007</v>
      </c>
      <c r="O85" s="39"/>
    </row>
    <row r="86" spans="1:23">
      <c r="A86" s="39"/>
      <c r="B86" s="119" t="s">
        <v>124</v>
      </c>
      <c r="C86" s="120"/>
      <c r="D86" s="121">
        <f>IF(D85=0,0,L22/((52/D27)*D83*-1*F85))</f>
        <v>0</v>
      </c>
      <c r="E86" s="121">
        <f>IF(E85=0,0,M22/((52/E27)*E83*-1*G85))</f>
        <v>13.758548493290911</v>
      </c>
      <c r="F86" s="122" t="s">
        <v>125</v>
      </c>
      <c r="G86" s="39"/>
      <c r="H86" s="39"/>
      <c r="I86" s="119" t="s">
        <v>124</v>
      </c>
      <c r="J86" s="120"/>
      <c r="K86" s="121">
        <f>IF(K85=0,0,L22/((52/D27)*K83*-1*M85))</f>
        <v>4.2707068738467076</v>
      </c>
      <c r="L86" s="121">
        <f>IF(L85=0,0,M22/((52/E27)*E83*-1*G85))</f>
        <v>13.758548493290911</v>
      </c>
      <c r="M86" s="122" t="s">
        <v>125</v>
      </c>
      <c r="N86" s="39"/>
      <c r="O86" s="39"/>
    </row>
    <row r="87" spans="1:23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</row>
    <row r="88" spans="1:23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</row>
    <row r="93" spans="1:23">
      <c r="W93" s="3" t="s">
        <v>16</v>
      </c>
    </row>
    <row r="123" spans="23:23">
      <c r="W123" s="3" t="s">
        <v>17</v>
      </c>
    </row>
    <row r="154" spans="23:23">
      <c r="W154" s="3" t="s">
        <v>18</v>
      </c>
    </row>
    <row r="184" spans="23:23">
      <c r="W184" s="3" t="s">
        <v>19</v>
      </c>
    </row>
    <row r="215" spans="23:23">
      <c r="W215" s="3" t="s">
        <v>20</v>
      </c>
    </row>
    <row r="246" spans="23:23">
      <c r="W246" s="3" t="s">
        <v>21</v>
      </c>
    </row>
    <row r="276" spans="23:23">
      <c r="W276" s="3" t="s">
        <v>22</v>
      </c>
    </row>
    <row r="307" spans="23:23">
      <c r="W307" s="3" t="s">
        <v>23</v>
      </c>
    </row>
    <row r="337" spans="23:23">
      <c r="W337" s="3" t="s">
        <v>24</v>
      </c>
    </row>
    <row r="368" spans="23:23">
      <c r="W368" s="3" t="s">
        <v>25</v>
      </c>
    </row>
    <row r="373" spans="23:29" ht="15.75" thickBot="1">
      <c r="W373" s="85"/>
      <c r="X373" s="85"/>
      <c r="Y373" s="85"/>
      <c r="Z373" s="85"/>
      <c r="AA373" s="85"/>
      <c r="AB373" s="85"/>
      <c r="AC373" s="85"/>
    </row>
  </sheetData>
  <sheetProtection password="86A6" sheet="1" objects="1" scenarios="1" formatCells="0"/>
  <mergeCells count="6">
    <mergeCell ref="L2:N2"/>
    <mergeCell ref="B3:H5"/>
    <mergeCell ref="L6:N6"/>
    <mergeCell ref="L5:N5"/>
    <mergeCell ref="L4:N4"/>
    <mergeCell ref="L3:N3"/>
  </mergeCells>
  <pageMargins left="0.45" right="0.45" top="0.25" bottom="0.25" header="0.3" footer="0.3"/>
  <pageSetup scale="75" fitToHeight="3" orientation="landscape" blackAndWhite="1" horizontalDpi="300" verticalDpi="300" r:id="rId1"/>
  <rowBreaks count="2" manualBreakCount="2">
    <brk id="34" max="14" man="1"/>
    <brk id="64" max="14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Pig Spaces</vt:lpstr>
      <vt:lpstr>open1</vt:lpstr>
      <vt:lpstr>open2</vt:lpstr>
      <vt:lpstr>'Pig Spaces'!Print_Area</vt:lpstr>
      <vt:lpstr>'Pig Spaces'!Print_Titles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Garland RJ Dahlke</dc:creator>
  <cp:lastModifiedBy>Garland RJ Dahlke</cp:lastModifiedBy>
  <cp:lastPrinted>2018-06-27T21:27:55Z</cp:lastPrinted>
  <dcterms:created xsi:type="dcterms:W3CDTF">2018-05-16T18:42:51Z</dcterms:created>
  <dcterms:modified xsi:type="dcterms:W3CDTF">2018-10-01T20:56:42Z</dcterms:modified>
</cp:coreProperties>
</file>