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9"/>
  <workbookPr filterPrivacy="1"/>
  <xr:revisionPtr revIDLastSave="0" documentId="13_ncr:1_{2E376C7B-B100-5A46-9CE3-71C2D021BC29}" xr6:coauthVersionLast="47" xr6:coauthVersionMax="47" xr10:uidLastSave="{00000000-0000-0000-0000-000000000000}"/>
  <workbookProtection workbookAlgorithmName="SHA-512" workbookHashValue="78B59jsPXtcIDMfNCXF4CXRo4ajXVHcpxoLugcVe78C1F/CX0uawuWWA6onmXCCXAVowNbmc3ruE8C93N4lxmA==" workbookSaltValue="f7EGb3oDtiZzAt+6cIKbRg==" workbookSpinCount="100000" lockStructure="1"/>
  <bookViews>
    <workbookView xWindow="-70500" yWindow="1160" windowWidth="27660" windowHeight="18880" xr2:uid="{00000000-000D-0000-FFFF-FFFF00000000}"/>
  </bookViews>
  <sheets>
    <sheet name="Calculator" sheetId="1" r:id="rId1"/>
    <sheet name="Sheet1" sheetId="2" state="hidden" r:id="rId2"/>
  </sheets>
  <definedNames>
    <definedName name="AnnualInterestRate">Calculator!#REF!</definedName>
    <definedName name="AnnualRateOfReturn">Calculator!$C$12</definedName>
    <definedName name="CurrentInvestedAmount">Calculator!$C$11</definedName>
    <definedName name="CurrentMonthlyPayment">Calculator!#REF!</definedName>
    <definedName name="ExtraFund">Calculator!#REF!</definedName>
    <definedName name="ImprovedYearsLoanRepayment">Calculator!#REF!</definedName>
    <definedName name="IncreasedMonthlyPayment">Calculator!#REF!</definedName>
    <definedName name="LoanBalance">Calculator!$C$8</definedName>
    <definedName name="OriginalYearsLoanRepayment">Calculator!$H$10</definedName>
    <definedName name="_xlnm.Print_Area" localSheetId="0">Calculator!$A$1:$P$17</definedName>
    <definedName name="TotalFundsOptionA">Calculator!#REF!</definedName>
    <definedName name="TotalFundsOptionB">Calculator!#REF!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N9" i="1"/>
  <c r="E13" i="1"/>
  <c r="L13" i="1"/>
  <c r="L14" i="1" s="1"/>
  <c r="F13" i="1"/>
  <c r="L9" i="1"/>
  <c r="G13" i="1" l="1"/>
  <c r="J13" i="1" s="1"/>
  <c r="N13" i="1"/>
  <c r="H13" i="1" l="1"/>
  <c r="G9" i="1"/>
  <c r="J9" i="1" s="1"/>
  <c r="H9" i="1"/>
  <c r="N14" i="1" l="1"/>
  <c r="F10" i="1"/>
  <c r="G10" i="1" s="1"/>
  <c r="J10" i="1" s="1"/>
  <c r="E3" i="1"/>
  <c r="N10" i="1" l="1"/>
  <c r="L10" i="1"/>
  <c r="F12" i="1"/>
  <c r="N12" i="1" s="1"/>
  <c r="F11" i="1"/>
  <c r="C10" i="2"/>
  <c r="C12" i="2"/>
  <c r="C14" i="2" s="1"/>
  <c r="E7" i="2"/>
  <c r="E5" i="2"/>
  <c r="E10" i="2" s="1"/>
  <c r="G11" i="1" l="1"/>
  <c r="J11" i="1" s="1"/>
  <c r="H11" i="1"/>
  <c r="H12" i="1"/>
  <c r="G12" i="1"/>
  <c r="J12" i="1" s="1"/>
  <c r="E12" i="2"/>
  <c r="E14" i="2" s="1"/>
  <c r="N11" i="1"/>
  <c r="L11" i="1"/>
  <c r="L12" i="1"/>
  <c r="H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13" authorId="0" shapeId="0" xr:uid="{FEC78522-B04B-44AA-A230-DCA4FE445B66}">
      <text>
        <r>
          <rPr>
            <b/>
            <sz val="9"/>
            <color rgb="FF000000"/>
            <rFont val="Tahoma"/>
            <family val="2"/>
          </rPr>
          <t xml:space="preserve">This is the total pounds of feed each pig will be alloted 
</t>
        </r>
        <r>
          <rPr>
            <b/>
            <sz val="9"/>
            <color rgb="FF000000"/>
            <rFont val="Tahoma"/>
            <family val="2"/>
          </rPr>
          <t>per day.</t>
        </r>
      </text>
    </comment>
    <comment ref="H13" authorId="0" shapeId="0" xr:uid="{4698CA03-09DC-45FF-A5F9-8D20EBCB862E}">
      <text>
        <r>
          <rPr>
            <b/>
            <sz val="9"/>
            <color rgb="FF000000"/>
            <rFont val="Tahoma"/>
            <family val="2"/>
          </rPr>
          <t>This is the total pounds of feed to be delivered to the pen per day.</t>
        </r>
      </text>
    </comment>
    <comment ref="J13" authorId="0" shapeId="0" xr:uid="{57388599-DEAC-4C91-A1AC-0F91246D622E}">
      <text>
        <r>
          <rPr>
            <b/>
            <sz val="9"/>
            <color rgb="FF000000"/>
            <rFont val="Tahoma"/>
            <family val="2"/>
          </rPr>
          <t>This is the estimated days worth of feed is currently on hand</t>
        </r>
      </text>
    </comment>
    <comment ref="L13" authorId="0" shapeId="0" xr:uid="{1E319EAB-09D2-4B39-A5ED-70BBC0DE60B1}">
      <text>
        <r>
          <rPr>
            <b/>
            <sz val="9"/>
            <color rgb="FF000000"/>
            <rFont val="Tahoma"/>
            <family val="2"/>
          </rPr>
          <t>Pounds of weight gain expected per pig in one week.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13" authorId="0" shapeId="0" xr:uid="{D74F2226-AAFB-4705-A110-A8BF84B4D640}">
      <text>
        <r>
          <rPr>
            <b/>
            <sz val="9"/>
            <color indexed="81"/>
            <rFont val="Tahoma"/>
            <family val="2"/>
          </rPr>
          <t>Expected weight gain of pigs in 2 weeks.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<sst xmlns="http://schemas.openxmlformats.org/spreadsheetml/2006/main" count="51" uniqueCount="51">
  <si>
    <t>Maintenance energy/day</t>
  </si>
  <si>
    <r>
      <t>kcal/kg = 197 kcal/kg BW</t>
    </r>
    <r>
      <rPr>
        <vertAlign val="superscript"/>
        <sz val="11"/>
        <color theme="1"/>
        <rFont val="Tw Cen MT"/>
        <family val="2"/>
        <scheme val="minor"/>
      </rPr>
      <t>0.6</t>
    </r>
  </si>
  <si>
    <t>Lbs</t>
  </si>
  <si>
    <t>Kg</t>
  </si>
  <si>
    <t>Body Weight (lbs)</t>
  </si>
  <si>
    <t>kg BW</t>
  </si>
  <si>
    <t>Diet Metabolizable Energy (kcal/lbs)</t>
  </si>
  <si>
    <t>kcal/kg diet</t>
  </si>
  <si>
    <t>Maintenance ME/d/hd</t>
  </si>
  <si>
    <t>ME/d/hd</t>
  </si>
  <si>
    <t>Maintenance FI/d/hd, lbs</t>
  </si>
  <si>
    <t>kg FI/d</t>
  </si>
  <si>
    <t>Estimated Ad libitum Feed Intake/d, lbs</t>
  </si>
  <si>
    <t>Estimated Ad libitum Feed Intake/d, kg</t>
  </si>
  <si>
    <t>Pigs in pen</t>
  </si>
  <si>
    <t>Maintenance Multiplier</t>
  </si>
  <si>
    <t>Diet Information</t>
  </si>
  <si>
    <t>Number of pigs/pen</t>
  </si>
  <si>
    <t>Estimated average pig body weight, lbs</t>
  </si>
  <si>
    <t>Pen information</t>
  </si>
  <si>
    <t>Desired Maintenance multiplier (1.0 - 3.2)</t>
  </si>
  <si>
    <t>Estimated Diet Metabolizable energy (ME), kcal/lbs</t>
  </si>
  <si>
    <t>Maintenance ME Multiplier</t>
  </si>
  <si>
    <t xml:space="preserve">     Prepared by:</t>
  </si>
  <si>
    <t>Iowa Pork Industry Center</t>
  </si>
  <si>
    <t>109 Kildee Hall</t>
  </si>
  <si>
    <t>Iowa State University</t>
  </si>
  <si>
    <t>ipic@iastate.edu</t>
  </si>
  <si>
    <t>Inputs</t>
  </si>
  <si>
    <t>Outputs</t>
  </si>
  <si>
    <t>Probable Gain</t>
  </si>
  <si>
    <t>Pounds of feed/Pen/day</t>
  </si>
  <si>
    <t>Period Ending Pig Weight (lbs.)</t>
  </si>
  <si>
    <t>Required Maintenance ME, kcals ME/day</t>
  </si>
  <si>
    <t>Notes:</t>
  </si>
  <si>
    <t>Kayla Miller</t>
  </si>
  <si>
    <t>Nicholas Gabler</t>
  </si>
  <si>
    <t>Estimating pen feed allocations (lbs/day) based on maintenance metabolizable energy (ME) requirements</t>
  </si>
  <si>
    <t>CAUTION: This is just a guide. Please consult your nutritionist and veterinarian for guidance prior to implementation</t>
  </si>
  <si>
    <t>2 Weeks (lbs)</t>
  </si>
  <si>
    <t>1 Week (lbs)</t>
  </si>
  <si>
    <t>Pounds of feed/Pig/day</t>
  </si>
  <si>
    <t>Estimated Current Feed Inventory, tons</t>
  </si>
  <si>
    <t>Current pig inventory</t>
  </si>
  <si>
    <t xml:space="preserve"> Feed Allocation</t>
  </si>
  <si>
    <t>On-hand Feed Supply</t>
  </si>
  <si>
    <t>Days of Feed</t>
  </si>
  <si>
    <t>Ames, IA,  50011 - 1178</t>
  </si>
  <si>
    <t>www.ipic.iastate.edu</t>
  </si>
  <si>
    <t>515 -294 -4103</t>
  </si>
  <si>
    <t>800-808-7675 (Iowa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</si>
</sst>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&quot;$&quot;#,##0"/>
    <numFmt numFmtId="165" formatCode="0.0"/>
    <numFmt numFmtId="166" formatCode="mmmm\ d\,\ yyyy"/>
    <numFmt numFmtId="167" formatCode="m/d/yy;@"/>
  </numFmts>
  <fonts count="37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0"/>
      <name val="Tw Cen MT"/>
      <family val="2"/>
      <scheme val="minor"/>
    </font>
    <font>
      <b/>
      <sz val="11"/>
      <color theme="1"/>
      <name val="Tw Cen MT"/>
      <family val="2"/>
      <scheme val="minor"/>
    </font>
    <font>
      <b/>
      <sz val="14"/>
      <color theme="6" tint="-0.499984740745262"/>
      <name val="Tw Cen MT"/>
      <family val="2"/>
      <scheme val="minor"/>
    </font>
    <font>
      <vertAlign val="superscript"/>
      <sz val="11"/>
      <color theme="1"/>
      <name val="Tw Cen MT"/>
      <family val="2"/>
      <scheme val="minor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36"/>
      <color theme="1"/>
      <name val="Calibri"/>
      <family val="2"/>
    </font>
    <font>
      <b/>
      <sz val="4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</font>
    <font>
      <sz val="11"/>
      <color theme="1"/>
      <name val="Calibri"/>
      <family val="2"/>
    </font>
    <font>
      <b/>
      <sz val="14"/>
      <color theme="6" tint="-0.499984740745262"/>
      <name val="Calibri"/>
      <family val="2"/>
    </font>
    <font>
      <b/>
      <sz val="24"/>
      <color theme="1"/>
      <name val="Calibri"/>
      <family val="2"/>
    </font>
    <font>
      <u/>
      <sz val="11"/>
      <color theme="10"/>
      <name val="Tw Cen MT"/>
      <family val="2"/>
      <scheme val="minor"/>
    </font>
    <font>
      <b/>
      <sz val="14"/>
      <color rgb="FFFFFF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b/>
      <sz val="14"/>
      <color rgb="FF0000FF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4"/>
      <color theme="1"/>
      <name val="Calibri"/>
      <family val="2"/>
    </font>
    <font>
      <b/>
      <i/>
      <sz val="14"/>
      <color rgb="FFFF0000"/>
      <name val="Calibri"/>
      <family val="2"/>
    </font>
    <font>
      <b/>
      <sz val="12"/>
      <color indexed="9"/>
      <name val="Calibri"/>
      <family val="2"/>
    </font>
    <font>
      <u/>
      <sz val="12"/>
      <color indexed="9"/>
      <name val="Calibri"/>
      <family val="2"/>
    </font>
    <font>
      <sz val="14"/>
      <color rgb="FFFFFF00"/>
      <name val="Calibri"/>
      <family val="2"/>
    </font>
    <font>
      <b/>
      <i/>
      <sz val="14"/>
      <color theme="1"/>
      <name val="Calibri"/>
      <family val="2"/>
    </font>
    <font>
      <i/>
      <sz val="14"/>
      <color rgb="FF0000FF"/>
      <name val="Calibri"/>
      <family val="2"/>
    </font>
    <font>
      <b/>
      <sz val="14"/>
      <color theme="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u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theme="7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 applyNumberFormat="0" applyAlignment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2" applyNumberFormat="0" applyAlignment="0">
      <alignment vertical="center"/>
    </xf>
    <xf numFmtId="0" fontId="3" fillId="4" borderId="1" applyBorder="0" applyAlignment="0">
      <alignment vertical="center"/>
    </xf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1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0" fontId="7" fillId="5" borderId="0" xfId="1" applyFont="1" applyFill="1" applyBorder="1" applyAlignment="1" applyProtection="1">
      <alignment vertical="center"/>
    </xf>
    <xf numFmtId="0" fontId="10" fillId="5" borderId="0" xfId="1" applyFont="1" applyFill="1" applyAlignment="1" applyProtection="1"/>
    <xf numFmtId="0" fontId="16" fillId="5" borderId="0" xfId="1" applyFont="1" applyFill="1" applyBorder="1" applyAlignment="1" applyProtection="1">
      <alignment horizontal="center" vertical="center" wrapText="1"/>
    </xf>
    <xf numFmtId="0" fontId="9" fillId="5" borderId="0" xfId="1" applyFont="1" applyFill="1" applyBorder="1" applyAlignment="1" applyProtection="1">
      <alignment vertical="center"/>
    </xf>
    <xf numFmtId="0" fontId="7" fillId="6" borderId="0" xfId="1" applyFont="1" applyFill="1" applyBorder="1" applyAlignment="1" applyProtection="1">
      <alignment vertical="center"/>
    </xf>
    <xf numFmtId="0" fontId="10" fillId="6" borderId="0" xfId="1" applyFont="1" applyFill="1" applyAlignment="1" applyProtection="1"/>
    <xf numFmtId="0" fontId="16" fillId="6" borderId="0" xfId="1" applyFont="1" applyFill="1" applyBorder="1" applyAlignment="1" applyProtection="1">
      <alignment horizontal="center" vertical="center" wrapText="1"/>
    </xf>
    <xf numFmtId="0" fontId="9" fillId="6" borderId="0" xfId="1" applyFont="1" applyFill="1" applyBorder="1" applyAlignment="1" applyProtection="1">
      <alignment vertical="center"/>
    </xf>
    <xf numFmtId="0" fontId="8" fillId="5" borderId="0" xfId="1" applyFont="1" applyFill="1" applyBorder="1" applyAlignment="1" applyProtection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</xf>
    <xf numFmtId="0" fontId="11" fillId="5" borderId="0" xfId="3" applyFont="1" applyFill="1" applyBorder="1" applyAlignment="1" applyProtection="1">
      <alignment vertical="center"/>
    </xf>
    <xf numFmtId="0" fontId="18" fillId="8" borderId="11" xfId="3" applyFont="1" applyFill="1" applyBorder="1" applyAlignment="1" applyProtection="1">
      <alignment vertical="center"/>
    </xf>
    <xf numFmtId="0" fontId="14" fillId="5" borderId="0" xfId="2" applyFont="1" applyFill="1" applyBorder="1" applyAlignment="1" applyProtection="1">
      <alignment vertical="center"/>
    </xf>
    <xf numFmtId="0" fontId="12" fillId="5" borderId="0" xfId="1" applyFont="1" applyFill="1" applyBorder="1" applyAlignment="1" applyProtection="1"/>
    <xf numFmtId="167" fontId="12" fillId="5" borderId="0" xfId="1" applyNumberFormat="1" applyFont="1" applyFill="1" applyBorder="1" applyAlignment="1" applyProtection="1">
      <alignment horizontal="center" vertical="center" wrapText="1"/>
    </xf>
    <xf numFmtId="2" fontId="20" fillId="9" borderId="13" xfId="2" applyNumberFormat="1" applyFont="1" applyFill="1" applyBorder="1" applyAlignment="1" applyProtection="1">
      <alignment horizontal="left" vertical="center"/>
    </xf>
    <xf numFmtId="0" fontId="29" fillId="8" borderId="0" xfId="7" applyFont="1" applyFill="1" applyAlignment="1" applyProtection="1">
      <alignment horizontal="center"/>
    </xf>
    <xf numFmtId="1" fontId="19" fillId="0" borderId="6" xfId="6" applyNumberFormat="1" applyFont="1" applyFill="1" applyBorder="1" applyAlignment="1" applyProtection="1">
      <alignment horizontal="center" vertical="center"/>
      <protection locked="0"/>
    </xf>
    <xf numFmtId="1" fontId="19" fillId="0" borderId="6" xfId="2" applyNumberFormat="1" applyFont="1" applyFill="1" applyBorder="1" applyAlignment="1" applyProtection="1">
      <alignment horizontal="center" vertical="center"/>
      <protection locked="0"/>
    </xf>
    <xf numFmtId="2" fontId="31" fillId="7" borderId="0" xfId="2" applyNumberFormat="1" applyFont="1" applyFill="1" applyBorder="1" applyAlignment="1" applyProtection="1">
      <alignment horizontal="center" vertical="center"/>
    </xf>
    <xf numFmtId="1" fontId="19" fillId="0" borderId="6" xfId="0" applyNumberFormat="1" applyFont="1" applyBorder="1" applyAlignment="1" applyProtection="1">
      <alignment horizontal="center" vertical="center"/>
      <protection locked="0"/>
    </xf>
    <xf numFmtId="2" fontId="19" fillId="0" borderId="6" xfId="2" applyNumberFormat="1" applyFont="1" applyFill="1" applyBorder="1" applyAlignment="1" applyProtection="1">
      <alignment horizontal="center" vertical="center"/>
      <protection locked="0"/>
    </xf>
    <xf numFmtId="1" fontId="32" fillId="9" borderId="8" xfId="6" applyNumberFormat="1" applyFont="1" applyFill="1" applyBorder="1" applyAlignment="1" applyProtection="1">
      <alignment horizontal="center" vertical="center"/>
    </xf>
    <xf numFmtId="0" fontId="19" fillId="9" borderId="4" xfId="2" applyFont="1" applyFill="1" applyBorder="1" applyAlignment="1" applyProtection="1">
      <alignment horizontal="left" vertical="center" wrapText="1" indent="1"/>
    </xf>
    <xf numFmtId="164" fontId="19" fillId="9" borderId="4" xfId="2" applyNumberFormat="1" applyFont="1" applyFill="1" applyBorder="1" applyAlignment="1" applyProtection="1">
      <alignment horizontal="left" vertical="center" indent="1"/>
    </xf>
    <xf numFmtId="0" fontId="19" fillId="9" borderId="4" xfId="2" applyFont="1" applyFill="1" applyBorder="1" applyAlignment="1" applyProtection="1">
      <alignment horizontal="left" vertical="center" indent="1"/>
    </xf>
    <xf numFmtId="2" fontId="26" fillId="9" borderId="14" xfId="2" applyNumberFormat="1" applyFont="1" applyFill="1" applyBorder="1" applyAlignment="1" applyProtection="1">
      <alignment horizontal="center" vertical="center"/>
    </xf>
    <xf numFmtId="0" fontId="20" fillId="9" borderId="4" xfId="3" applyFont="1" applyFill="1" applyBorder="1" applyAlignment="1" applyProtection="1">
      <alignment horizontal="center" vertical="center"/>
    </xf>
    <xf numFmtId="0" fontId="20" fillId="9" borderId="5" xfId="3" applyFont="1" applyFill="1" applyBorder="1" applyAlignment="1" applyProtection="1">
      <alignment horizontal="center" vertical="center"/>
    </xf>
    <xf numFmtId="0" fontId="20" fillId="9" borderId="5" xfId="3" applyFont="1" applyFill="1" applyBorder="1" applyAlignment="1" applyProtection="1">
      <alignment vertical="center"/>
    </xf>
    <xf numFmtId="0" fontId="36" fillId="8" borderId="0" xfId="7" applyFont="1" applyFill="1" applyAlignment="1" applyProtection="1">
      <alignment horizontal="center"/>
    </xf>
    <xf numFmtId="0" fontId="16" fillId="5" borderId="0" xfId="1" applyFont="1" applyFill="1" applyBorder="1" applyAlignment="1" applyProtection="1">
      <alignment horizontal="center" vertical="center" wrapText="1"/>
    </xf>
    <xf numFmtId="0" fontId="11" fillId="5" borderId="0" xfId="5" applyFont="1" applyFill="1" applyBorder="1" applyAlignment="1" applyProtection="1">
      <alignment vertical="center"/>
    </xf>
    <xf numFmtId="0" fontId="19" fillId="9" borderId="4" xfId="0" applyFont="1" applyFill="1" applyBorder="1" applyAlignment="1" applyProtection="1"/>
    <xf numFmtId="0" fontId="19" fillId="9" borderId="5" xfId="0" applyFont="1" applyFill="1" applyBorder="1" applyAlignment="1" applyProtection="1"/>
    <xf numFmtId="0" fontId="19" fillId="0" borderId="0" xfId="0" applyFont="1" applyAlignment="1" applyProtection="1">
      <alignment vertical="center"/>
    </xf>
    <xf numFmtId="0" fontId="19" fillId="9" borderId="7" xfId="0" applyFont="1" applyFill="1" applyBorder="1" applyAlignment="1" applyProtection="1">
      <alignment vertical="center"/>
    </xf>
    <xf numFmtId="0" fontId="20" fillId="9" borderId="3" xfId="5" applyFont="1" applyFill="1" applyBorder="1" applyAlignment="1" applyProtection="1">
      <alignment vertical="center"/>
    </xf>
    <xf numFmtId="0" fontId="19" fillId="9" borderId="3" xfId="0" applyFont="1" applyFill="1" applyBorder="1" applyAlignment="1" applyProtection="1">
      <alignment horizontal="center"/>
    </xf>
    <xf numFmtId="0" fontId="19" fillId="9" borderId="8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1" fillId="9" borderId="7" xfId="0" applyFont="1" applyFill="1" applyBorder="1" applyAlignment="1" applyProtection="1">
      <alignment horizontal="left" vertical="center" indent="1"/>
    </xf>
    <xf numFmtId="0" fontId="27" fillId="0" borderId="0" xfId="0" applyFont="1" applyAlignment="1" applyProtection="1">
      <alignment vertical="center"/>
    </xf>
    <xf numFmtId="0" fontId="19" fillId="0" borderId="0" xfId="0" applyFont="1" applyAlignment="1" applyProtection="1"/>
    <xf numFmtId="0" fontId="14" fillId="5" borderId="0" xfId="0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13" fillId="0" borderId="0" xfId="0" applyFont="1" applyAlignment="1" applyProtection="1"/>
    <xf numFmtId="0" fontId="28" fillId="8" borderId="0" xfId="0" applyFont="1" applyFill="1" applyAlignment="1" applyProtection="1">
      <alignment horizontal="center"/>
    </xf>
    <xf numFmtId="0" fontId="6" fillId="0" borderId="0" xfId="0" applyFont="1" applyAlignment="1" applyProtection="1">
      <alignment horizontal="left" vertical="center" indent="1"/>
    </xf>
    <xf numFmtId="1" fontId="6" fillId="0" borderId="0" xfId="0" applyNumberFormat="1" applyFont="1" applyAlignment="1" applyProtection="1">
      <alignment horizontal="center" vertical="center"/>
    </xf>
    <xf numFmtId="0" fontId="6" fillId="5" borderId="0" xfId="0" applyFont="1" applyFill="1" applyAlignment="1" applyProtection="1">
      <alignment vertical="center"/>
    </xf>
    <xf numFmtId="166" fontId="28" fillId="8" borderId="0" xfId="0" applyNumberFormat="1" applyFont="1" applyFill="1" applyAlignment="1" applyProtection="1">
      <alignment horizontal="center"/>
    </xf>
    <xf numFmtId="0" fontId="6" fillId="8" borderId="0" xfId="0" applyFont="1" applyFill="1" applyProtection="1"/>
    <xf numFmtId="0" fontId="19" fillId="9" borderId="4" xfId="0" applyFont="1" applyFill="1" applyBorder="1" applyAlignment="1" applyProtection="1">
      <alignment horizontal="center" vertical="center"/>
    </xf>
    <xf numFmtId="0" fontId="20" fillId="9" borderId="0" xfId="0" applyFont="1" applyFill="1" applyAlignment="1" applyProtection="1">
      <alignment horizontal="left" vertical="center"/>
    </xf>
    <xf numFmtId="0" fontId="19" fillId="9" borderId="0" xfId="0" applyFont="1" applyFill="1" applyAlignment="1" applyProtection="1">
      <alignment horizontal="center" vertical="center"/>
    </xf>
    <xf numFmtId="2" fontId="23" fillId="9" borderId="0" xfId="0" applyNumberFormat="1" applyFont="1" applyFill="1" applyAlignment="1" applyProtection="1">
      <alignment horizontal="center" vertical="center"/>
    </xf>
    <xf numFmtId="0" fontId="23" fillId="9" borderId="0" xfId="0" applyFont="1" applyFill="1" applyAlignment="1" applyProtection="1">
      <alignment horizontal="center" vertical="center"/>
    </xf>
    <xf numFmtId="0" fontId="23" fillId="9" borderId="5" xfId="0" applyFont="1" applyFill="1" applyBorder="1" applyAlignment="1" applyProtection="1">
      <alignment horizontal="center" vertical="center"/>
    </xf>
    <xf numFmtId="0" fontId="15" fillId="5" borderId="0" xfId="4" applyFont="1" applyFill="1" applyBorder="1" applyAlignment="1" applyProtection="1">
      <alignment vertical="center"/>
    </xf>
    <xf numFmtId="165" fontId="23" fillId="9" borderId="14" xfId="0" applyNumberFormat="1" applyFont="1" applyFill="1" applyBorder="1" applyAlignment="1" applyProtection="1">
      <alignment horizontal="center" vertical="center"/>
    </xf>
    <xf numFmtId="2" fontId="26" fillId="9" borderId="14" xfId="0" applyNumberFormat="1" applyFont="1" applyFill="1" applyBorder="1" applyAlignment="1" applyProtection="1">
      <alignment horizontal="center" vertical="center"/>
    </xf>
    <xf numFmtId="0" fontId="26" fillId="9" borderId="14" xfId="0" applyFont="1" applyFill="1" applyBorder="1" applyAlignment="1" applyProtection="1">
      <alignment horizontal="center" vertical="center"/>
    </xf>
    <xf numFmtId="0" fontId="26" fillId="9" borderId="15" xfId="0" applyFont="1" applyFill="1" applyBorder="1" applyAlignment="1" applyProtection="1">
      <alignment horizontal="center" vertical="center"/>
    </xf>
    <xf numFmtId="0" fontId="19" fillId="9" borderId="4" xfId="0" applyFont="1" applyFill="1" applyBorder="1" applyAlignment="1" applyProtection="1">
      <alignment horizontal="left" vertical="center" indent="1"/>
    </xf>
    <xf numFmtId="0" fontId="26" fillId="7" borderId="4" xfId="0" applyFont="1" applyFill="1" applyBorder="1" applyAlignment="1" applyProtection="1">
      <alignment horizontal="center" vertical="center"/>
    </xf>
    <xf numFmtId="2" fontId="31" fillId="7" borderId="0" xfId="0" applyNumberFormat="1" applyFont="1" applyFill="1" applyAlignment="1" applyProtection="1">
      <alignment horizontal="center" vertical="center"/>
    </xf>
    <xf numFmtId="165" fontId="26" fillId="7" borderId="0" xfId="0" applyNumberFormat="1" applyFont="1" applyFill="1" applyAlignment="1" applyProtection="1">
      <alignment horizontal="center" vertical="center"/>
    </xf>
    <xf numFmtId="2" fontId="26" fillId="7" borderId="0" xfId="0" applyNumberFormat="1" applyFont="1" applyFill="1" applyAlignment="1" applyProtection="1">
      <alignment horizontal="center" vertical="center"/>
    </xf>
    <xf numFmtId="0" fontId="26" fillId="7" borderId="0" xfId="0" applyFont="1" applyFill="1" applyAlignment="1" applyProtection="1">
      <alignment horizontal="center" vertical="center"/>
    </xf>
    <xf numFmtId="0" fontId="26" fillId="7" borderId="5" xfId="0" applyFont="1" applyFill="1" applyBorder="1" applyAlignment="1" applyProtection="1">
      <alignment horizontal="center" vertical="center"/>
    </xf>
    <xf numFmtId="0" fontId="19" fillId="9" borderId="7" xfId="0" applyFont="1" applyFill="1" applyBorder="1" applyAlignment="1" applyProtection="1">
      <alignment horizontal="center" vertical="center"/>
    </xf>
    <xf numFmtId="0" fontId="19" fillId="9" borderId="3" xfId="5" applyFont="1" applyFill="1" applyBorder="1" applyAlignment="1" applyProtection="1">
      <alignment horizontal="right" vertical="center"/>
    </xf>
    <xf numFmtId="49" fontId="19" fillId="9" borderId="3" xfId="5" applyNumberFormat="1" applyFont="1" applyFill="1" applyBorder="1" applyAlignment="1" applyProtection="1">
      <alignment horizontal="center" vertical="center"/>
    </xf>
    <xf numFmtId="0" fontId="19" fillId="9" borderId="3" xfId="5" applyFont="1" applyFill="1" applyBorder="1" applyAlignment="1" applyProtection="1">
      <alignment horizontal="center" vertical="center"/>
    </xf>
    <xf numFmtId="0" fontId="19" fillId="9" borderId="3" xfId="0" applyFont="1" applyFill="1" applyBorder="1" applyAlignment="1" applyProtection="1">
      <alignment horizontal="center" vertical="center"/>
    </xf>
    <xf numFmtId="0" fontId="20" fillId="9" borderId="8" xfId="0" applyFont="1" applyFill="1" applyBorder="1" applyAlignment="1" applyProtection="1">
      <alignment horizontal="center" vertical="center"/>
    </xf>
    <xf numFmtId="0" fontId="21" fillId="8" borderId="0" xfId="0" applyFont="1" applyFill="1" applyAlignment="1" applyProtection="1">
      <alignment horizont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2" fillId="5" borderId="12" xfId="1" applyFont="1" applyFill="1" applyBorder="1" applyAlignment="1" applyProtection="1"/>
    <xf numFmtId="0" fontId="22" fillId="8" borderId="0" xfId="0" applyFont="1" applyFill="1" applyAlignment="1" applyProtection="1">
      <alignment horizontal="left"/>
    </xf>
    <xf numFmtId="0" fontId="14" fillId="8" borderId="0" xfId="0" applyFont="1" applyFill="1" applyAlignment="1" applyProtection="1"/>
    <xf numFmtId="0" fontId="28" fillId="8" borderId="0" xfId="0" applyFont="1" applyFill="1" applyAlignment="1" applyProtection="1">
      <alignment horizontal="left"/>
    </xf>
    <xf numFmtId="0" fontId="33" fillId="8" borderId="9" xfId="0" applyFont="1" applyFill="1" applyBorder="1" applyProtection="1"/>
    <xf numFmtId="0" fontId="30" fillId="8" borderId="10" xfId="0" applyFont="1" applyFill="1" applyBorder="1" applyProtection="1"/>
    <xf numFmtId="0" fontId="33" fillId="8" borderId="9" xfId="0" applyFont="1" applyFill="1" applyBorder="1" applyAlignment="1" applyProtection="1"/>
    <xf numFmtId="0" fontId="18" fillId="8" borderId="11" xfId="0" applyFont="1" applyFill="1" applyBorder="1" applyAlignment="1" applyProtection="1">
      <alignment horizontal="center"/>
    </xf>
    <xf numFmtId="0" fontId="18" fillId="8" borderId="10" xfId="0" applyFont="1" applyFill="1" applyBorder="1" applyAlignment="1" applyProtection="1"/>
    <xf numFmtId="0" fontId="20" fillId="9" borderId="16" xfId="4" applyFont="1" applyFill="1" applyBorder="1" applyAlignment="1" applyProtection="1">
      <alignment horizontal="center" vertical="center"/>
    </xf>
    <xf numFmtId="0" fontId="20" fillId="9" borderId="0" xfId="4" applyFont="1" applyFill="1" applyBorder="1" applyAlignment="1" applyProtection="1">
      <alignment horizontal="center" vertical="center"/>
    </xf>
    <xf numFmtId="0" fontId="20" fillId="9" borderId="16" xfId="4" applyFont="1" applyFill="1" applyBorder="1" applyAlignment="1" applyProtection="1">
      <alignment horizontal="center" vertical="center"/>
    </xf>
    <xf numFmtId="0" fontId="20" fillId="9" borderId="16" xfId="0" applyFont="1" applyFill="1" applyBorder="1" applyAlignment="1" applyProtection="1">
      <alignment horizontal="center" vertical="center"/>
    </xf>
    <xf numFmtId="0" fontId="19" fillId="9" borderId="5" xfId="0" applyFont="1" applyFill="1" applyBorder="1" applyAlignment="1" applyProtection="1">
      <alignment horizontal="center" vertical="center"/>
    </xf>
  </cellXfs>
  <cellStyles count="8">
    <cellStyle name="20% - Accent1" xfId="2" builtinId="30"/>
    <cellStyle name="40% - Accent1" xfId="3" builtinId="31"/>
    <cellStyle name="Accent1" xfId="1" builtinId="29"/>
    <cellStyle name="Comma" xfId="6" builtinId="3"/>
    <cellStyle name="Hyperlink" xfId="7" builtinId="8"/>
    <cellStyle name="Normal" xfId="0" builtinId="0" customBuiltin="1"/>
    <cellStyle name="Style 1" xfId="5" xr:uid="{00000000-0005-0000-0000-000005000000}"/>
    <cellStyle name="Style 4" xfId="4" xr:uid="{00000000-0005-0000-0000-000006000000}"/>
  </cellStyles>
  <dxfs count="0"/>
  <tableStyles count="1" defaultTableStyle="TableStyleMedium2" defaultPivotStyle="PivotStyleLight16">
    <tableStyle name="Table Style 1" pivot="0" count="0" xr9:uid="{00000000-0011-0000-FFFF-FFFF00000000}"/>
  </tableStyles>
  <colors>
    <mruColors>
      <color rgb="FFC00000"/>
      <color rgb="FF0000FF"/>
      <color rgb="FFFFFFCC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904875</xdr:colOff>
      <xdr:row>1</xdr:row>
      <xdr:rowOff>1047750</xdr:rowOff>
    </xdr:to>
    <xdr:pic>
      <xdr:nvPicPr>
        <xdr:cNvPr id="2" name="Picture 1" descr="Iowa Pork Industry Center logo, globe with pig and “Iowa Pork Industry Center” within">
          <a:extLst>
            <a:ext uri="{FF2B5EF4-FFF2-40B4-BE49-F238E27FC236}">
              <a16:creationId xmlns:a16="http://schemas.microsoft.com/office/drawing/2014/main" id="{883E91A0-CFE4-4C22-BA8B-30B4FBC03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132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0</xdr:row>
      <xdr:rowOff>275166</xdr:rowOff>
    </xdr:from>
    <xdr:to>
      <xdr:col>15</xdr:col>
      <xdr:colOff>458555</xdr:colOff>
      <xdr:row>1</xdr:row>
      <xdr:rowOff>730249</xdr:rowOff>
    </xdr:to>
    <xdr:pic>
      <xdr:nvPicPr>
        <xdr:cNvPr id="4" name="Picture 3" descr="Iowa State University&#10;Extension and Outreach&#10;Iowa Pork Industry Center">
          <a:extLst>
            <a:ext uri="{FF2B5EF4-FFF2-40B4-BE49-F238E27FC236}">
              <a16:creationId xmlns:a16="http://schemas.microsoft.com/office/drawing/2014/main" id="{50BB9C35-E8CB-2EC4-1897-339D8A167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49499" y="275166"/>
          <a:ext cx="311497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udget">
      <a:dk1>
        <a:srgbClr val="000000"/>
      </a:dk1>
      <a:lt1>
        <a:srgbClr val="FFFFFF"/>
      </a:lt1>
      <a:dk2>
        <a:srgbClr val="635B4F"/>
      </a:dk2>
      <a:lt2>
        <a:srgbClr val="E7E6E6"/>
      </a:lt2>
      <a:accent1>
        <a:srgbClr val="20AFCF"/>
      </a:accent1>
      <a:accent2>
        <a:srgbClr val="D83A51"/>
      </a:accent2>
      <a:accent3>
        <a:srgbClr val="67AD3D"/>
      </a:accent3>
      <a:accent4>
        <a:srgbClr val="F58220"/>
      </a:accent4>
      <a:accent5>
        <a:srgbClr val="974791"/>
      </a:accent5>
      <a:accent6>
        <a:srgbClr val="FECD30"/>
      </a:accent6>
      <a:hlink>
        <a:srgbClr val="0563C1"/>
      </a:hlink>
      <a:folHlink>
        <a:srgbClr val="954F72"/>
      </a:folHlink>
    </a:clrScheme>
    <a:fontScheme name="Custom 36">
      <a:majorFont>
        <a:latin typeface="Tw Cen MT"/>
        <a:ea typeface=""/>
        <a:cs typeface=""/>
      </a:majorFont>
      <a:minorFont>
        <a:latin typeface="Tw Cen M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pic@iastate.edu" TargetMode="External"/><Relationship Id="rId1" Type="http://schemas.openxmlformats.org/officeDocument/2006/relationships/hyperlink" Target="https://www.ipic.iastate.edu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S22"/>
  <sheetViews>
    <sheetView showGridLines="0" tabSelected="1" zoomScaleNormal="100" workbookViewId="0">
      <selection activeCell="G10" sqref="G10"/>
    </sheetView>
  </sheetViews>
  <sheetFormatPr baseColWidth="10" defaultColWidth="9" defaultRowHeight="22" customHeight="1" x14ac:dyDescent="0.2"/>
  <cols>
    <col min="1" max="1" width="6.5" style="56" customWidth="1"/>
    <col min="2" max="2" width="45" style="46" customWidth="1"/>
    <col min="3" max="3" width="14.1640625" style="51" customWidth="1"/>
    <col min="4" max="4" width="6.5" style="51" customWidth="1"/>
    <col min="5" max="5" width="15.6640625" style="51" customWidth="1"/>
    <col min="6" max="6" width="15.5" style="51" customWidth="1"/>
    <col min="7" max="7" width="26.5" style="46" customWidth="1"/>
    <col min="8" max="8" width="27.33203125" style="51" customWidth="1"/>
    <col min="9" max="9" width="3" style="51" customWidth="1"/>
    <col min="10" max="10" width="27.33203125" style="51" customWidth="1"/>
    <col min="11" max="11" width="2.83203125" style="51" customWidth="1"/>
    <col min="12" max="12" width="16.5" style="51" customWidth="1"/>
    <col min="13" max="13" width="5.33203125" style="51" customWidth="1"/>
    <col min="14" max="14" width="15.6640625" style="51" customWidth="1"/>
    <col min="15" max="15" width="4.33203125" style="46" customWidth="1"/>
    <col min="16" max="16" width="8.5" style="46" customWidth="1"/>
    <col min="17" max="17" width="33.5" style="46" customWidth="1"/>
    <col min="18" max="16384" width="9" style="46"/>
  </cols>
  <sheetData>
    <row r="1" spans="1:19" ht="22" customHeight="1" x14ac:dyDescent="0.2">
      <c r="Q1" s="83"/>
    </row>
    <row r="2" spans="1:19" s="7" customFormat="1" ht="100" customHeight="1" x14ac:dyDescent="0.3">
      <c r="A2" s="6"/>
      <c r="C2" s="37" t="s">
        <v>37</v>
      </c>
      <c r="D2" s="84"/>
      <c r="E2" s="84"/>
      <c r="F2" s="84"/>
      <c r="G2" s="84"/>
      <c r="H2" s="84"/>
      <c r="I2" s="85"/>
      <c r="J2" s="85"/>
      <c r="K2" s="85"/>
      <c r="L2" s="6"/>
      <c r="M2" s="19" t="s">
        <v>34</v>
      </c>
      <c r="N2" s="86"/>
      <c r="O2" s="86"/>
      <c r="P2" s="86"/>
      <c r="Q2" s="87"/>
    </row>
    <row r="3" spans="1:19" s="7" customFormat="1" ht="30.75" customHeight="1" x14ac:dyDescent="0.3">
      <c r="A3" s="6"/>
      <c r="C3" s="8"/>
      <c r="D3" s="8"/>
      <c r="E3" s="20">
        <f ca="1">TODAY()</f>
        <v>45692</v>
      </c>
      <c r="F3" s="9"/>
      <c r="G3" s="9"/>
      <c r="H3" s="6"/>
      <c r="I3" s="6"/>
      <c r="J3" s="6"/>
      <c r="K3" s="6"/>
      <c r="L3" s="6"/>
      <c r="M3" s="19"/>
      <c r="N3" s="19"/>
      <c r="O3" s="19"/>
      <c r="P3" s="19"/>
      <c r="Q3" s="88"/>
    </row>
    <row r="4" spans="1:19" s="7" customFormat="1" ht="9" customHeight="1" x14ac:dyDescent="0.3">
      <c r="A4" s="10"/>
      <c r="B4" s="11"/>
      <c r="C4" s="12"/>
      <c r="D4" s="12"/>
      <c r="E4" s="12"/>
      <c r="F4" s="13"/>
      <c r="G4" s="13"/>
      <c r="H4" s="10"/>
      <c r="I4" s="10"/>
      <c r="J4" s="10"/>
      <c r="K4" s="10"/>
      <c r="L4" s="10"/>
      <c r="M4" s="10"/>
      <c r="N4" s="10"/>
      <c r="O4" s="10"/>
      <c r="P4" s="10"/>
      <c r="Q4" s="83"/>
    </row>
    <row r="5" spans="1:19" s="7" customFormat="1" ht="24.75" customHeight="1" thickBot="1" x14ac:dyDescent="0.35">
      <c r="A5" s="6"/>
      <c r="B5" s="14"/>
      <c r="C5" s="15"/>
      <c r="D5" s="15"/>
      <c r="E5" s="15"/>
      <c r="F5" s="9"/>
      <c r="G5" s="9"/>
      <c r="H5" s="6"/>
      <c r="I5" s="6"/>
      <c r="J5" s="6"/>
      <c r="K5" s="6"/>
      <c r="L5" s="6"/>
      <c r="M5" s="6"/>
      <c r="N5" s="6"/>
      <c r="O5" s="6"/>
      <c r="P5" s="6"/>
      <c r="Q5" s="89" t="s">
        <v>23</v>
      </c>
    </row>
    <row r="6" spans="1:19" s="52" customFormat="1" ht="30" customHeight="1" thickBot="1" x14ac:dyDescent="0.3">
      <c r="A6" s="16"/>
      <c r="B6" s="90" t="s">
        <v>28</v>
      </c>
      <c r="C6" s="91"/>
      <c r="D6" s="49"/>
      <c r="E6" s="92" t="s">
        <v>29</v>
      </c>
      <c r="F6" s="17"/>
      <c r="G6" s="93"/>
      <c r="H6" s="93"/>
      <c r="I6" s="93"/>
      <c r="J6" s="93"/>
      <c r="K6" s="93"/>
      <c r="L6" s="93"/>
      <c r="M6" s="93"/>
      <c r="N6" s="93"/>
      <c r="O6" s="94"/>
      <c r="Q6" s="53" t="s">
        <v>35</v>
      </c>
    </row>
    <row r="7" spans="1:19" ht="30" customHeight="1" x14ac:dyDescent="0.3">
      <c r="A7" s="18"/>
      <c r="B7" s="33" t="s">
        <v>16</v>
      </c>
      <c r="C7" s="34"/>
      <c r="D7" s="41"/>
      <c r="E7" s="59"/>
      <c r="F7" s="61"/>
      <c r="G7" s="95" t="s">
        <v>44</v>
      </c>
      <c r="H7" s="95"/>
      <c r="I7" s="96"/>
      <c r="J7" s="97" t="s">
        <v>45</v>
      </c>
      <c r="K7" s="96"/>
      <c r="L7" s="98" t="s">
        <v>30</v>
      </c>
      <c r="M7" s="98"/>
      <c r="N7" s="98"/>
      <c r="O7" s="99"/>
      <c r="Q7" s="53" t="s">
        <v>36</v>
      </c>
      <c r="S7" s="7"/>
    </row>
    <row r="8" spans="1:19" ht="30" customHeight="1" thickBot="1" x14ac:dyDescent="0.25">
      <c r="A8" s="50"/>
      <c r="B8" s="29" t="s">
        <v>21</v>
      </c>
      <c r="C8" s="23">
        <v>1540</v>
      </c>
      <c r="D8" s="41"/>
      <c r="E8" s="77"/>
      <c r="F8" s="78" t="s">
        <v>22</v>
      </c>
      <c r="G8" s="79" t="s">
        <v>41</v>
      </c>
      <c r="H8" s="80" t="s">
        <v>31</v>
      </c>
      <c r="I8" s="78"/>
      <c r="J8" s="80" t="s">
        <v>46</v>
      </c>
      <c r="K8" s="78"/>
      <c r="L8" s="81" t="s">
        <v>40</v>
      </c>
      <c r="M8" s="81"/>
      <c r="N8" s="81" t="s">
        <v>39</v>
      </c>
      <c r="O8" s="82"/>
      <c r="Q8" s="58"/>
    </row>
    <row r="9" spans="1:19" ht="30" customHeight="1" x14ac:dyDescent="0.2">
      <c r="A9" s="50"/>
      <c r="B9" s="30" t="s">
        <v>42</v>
      </c>
      <c r="C9" s="24">
        <v>24</v>
      </c>
      <c r="D9" s="41"/>
      <c r="E9" s="71"/>
      <c r="F9" s="25">
        <v>1</v>
      </c>
      <c r="G9" s="73">
        <f>($C$16/$C$8)*$F9</f>
        <v>1.9121340995540712</v>
      </c>
      <c r="H9" s="73">
        <f>($C$16/$C$8)*$F9*$C$12</f>
        <v>38.242681991081426</v>
      </c>
      <c r="I9" s="73"/>
      <c r="J9" s="73">
        <f>($C$9*2000)/($C$13*G9)</f>
        <v>20.919034919846052</v>
      </c>
      <c r="K9" s="73"/>
      <c r="L9" s="74">
        <f>((1.3612*(F9))-1.9521)*7</f>
        <v>-4.1363000000000003</v>
      </c>
      <c r="M9" s="75"/>
      <c r="N9" s="74">
        <f>((1.3612*(F9))-1.9521)*14</f>
        <v>-8.2726000000000006</v>
      </c>
      <c r="O9" s="76"/>
      <c r="Q9" s="53" t="s">
        <v>24</v>
      </c>
    </row>
    <row r="10" spans="1:19" ht="30" customHeight="1" x14ac:dyDescent="0.2">
      <c r="A10" s="50"/>
      <c r="B10" s="33" t="s">
        <v>19</v>
      </c>
      <c r="C10" s="35"/>
      <c r="D10" s="41"/>
      <c r="E10" s="71"/>
      <c r="F10" s="72">
        <f>(F13-F9)*0.25+F9</f>
        <v>1.125</v>
      </c>
      <c r="G10" s="73">
        <f>($C$16/$C$8)*$F10</f>
        <v>2.1511508619983299</v>
      </c>
      <c r="H10" s="73">
        <f>($C$16/$C$8)*$F10*$C$12</f>
        <v>43.023017239966599</v>
      </c>
      <c r="I10" s="73"/>
      <c r="J10" s="73">
        <f>($C$9*2000)/($C$13*G10)</f>
        <v>18.594697706529825</v>
      </c>
      <c r="K10" s="73"/>
      <c r="L10" s="74">
        <f t="shared" ref="L10:L12" si="0">((1.3612*(F10))-1.9521)*7</f>
        <v>-2.9452499999999997</v>
      </c>
      <c r="M10" s="75"/>
      <c r="N10" s="74">
        <f>((1.3612*(F10))-1.9521)*14</f>
        <v>-5.8904999999999994</v>
      </c>
      <c r="O10" s="76"/>
      <c r="Q10" s="53" t="s">
        <v>25</v>
      </c>
    </row>
    <row r="11" spans="1:19" ht="30" customHeight="1" x14ac:dyDescent="0.2">
      <c r="A11" s="50"/>
      <c r="B11" s="31" t="s">
        <v>18</v>
      </c>
      <c r="C11" s="24">
        <v>200</v>
      </c>
      <c r="D11" s="41"/>
      <c r="E11" s="71"/>
      <c r="F11" s="72">
        <f>(F13-F9)*0.5+F9</f>
        <v>1.25</v>
      </c>
      <c r="G11" s="73">
        <f>($C$16/$C$8)*$F11</f>
        <v>2.3901676244425891</v>
      </c>
      <c r="H11" s="73">
        <f>($C$16/$C$8)*$F11*$C$12</f>
        <v>47.803352488851786</v>
      </c>
      <c r="I11" s="73"/>
      <c r="J11" s="73">
        <f>($C$9*2000)/($C$13*G11)</f>
        <v>16.735227935876839</v>
      </c>
      <c r="K11" s="73"/>
      <c r="L11" s="74">
        <f t="shared" si="0"/>
        <v>-1.7541999999999995</v>
      </c>
      <c r="M11" s="75"/>
      <c r="N11" s="74">
        <f>((1.3612*(F11))-1.9521)*14</f>
        <v>-3.5083999999999991</v>
      </c>
      <c r="O11" s="76"/>
      <c r="Q11" s="53" t="s">
        <v>26</v>
      </c>
    </row>
    <row r="12" spans="1:19" ht="30" customHeight="1" thickBot="1" x14ac:dyDescent="0.25">
      <c r="A12" s="18"/>
      <c r="B12" s="70" t="s">
        <v>17</v>
      </c>
      <c r="C12" s="26">
        <v>20</v>
      </c>
      <c r="D12" s="41"/>
      <c r="E12" s="71"/>
      <c r="F12" s="72">
        <f>(F13-F9)*0.75+F9</f>
        <v>1.375</v>
      </c>
      <c r="G12" s="73">
        <f>($C$16/$C$8)*$F12</f>
        <v>2.6291843868868479</v>
      </c>
      <c r="H12" s="73">
        <f>($C$16/$C$8)*$F12*$C$12</f>
        <v>52.583687737736959</v>
      </c>
      <c r="I12" s="73"/>
      <c r="J12" s="73">
        <f>($C$9*2000)/($C$13*G12)</f>
        <v>15.213843578069856</v>
      </c>
      <c r="K12" s="73"/>
      <c r="L12" s="74">
        <f t="shared" si="0"/>
        <v>-0.56314999999999937</v>
      </c>
      <c r="M12" s="75"/>
      <c r="N12" s="74">
        <f>((1.3612*(F12))-1.9521)*14</f>
        <v>-1.1262999999999987</v>
      </c>
      <c r="O12" s="76"/>
      <c r="Q12" s="53" t="s">
        <v>47</v>
      </c>
    </row>
    <row r="13" spans="1:19" ht="30" customHeight="1" x14ac:dyDescent="0.2">
      <c r="B13" s="70" t="s">
        <v>43</v>
      </c>
      <c r="C13" s="26">
        <v>1200</v>
      </c>
      <c r="D13" s="41"/>
      <c r="E13" s="21" t="str">
        <f>"Desired: "&amp;C14 &amp; "x"</f>
        <v>Desired: 1.5x</v>
      </c>
      <c r="F13" s="32">
        <f>C14</f>
        <v>1.5</v>
      </c>
      <c r="G13" s="66">
        <f>($C$16/$C$8)*$C14</f>
        <v>2.8682011493311066</v>
      </c>
      <c r="H13" s="66">
        <f>($C$16/$C$8)*$C$14*$C$12</f>
        <v>57.364022986622132</v>
      </c>
      <c r="I13" s="66"/>
      <c r="J13" s="66">
        <f>($C$9*2000)/($C$13*G13)</f>
        <v>13.946023279897368</v>
      </c>
      <c r="K13" s="66"/>
      <c r="L13" s="67">
        <f>((1.3612*(C14))-1.9521)*7</f>
        <v>0.62789999999999924</v>
      </c>
      <c r="M13" s="68"/>
      <c r="N13" s="67">
        <f>((1.3612*(C14))-1.9521)*14</f>
        <v>1.2557999999999985</v>
      </c>
      <c r="O13" s="69"/>
      <c r="Q13" s="53"/>
    </row>
    <row r="14" spans="1:19" s="52" customFormat="1" ht="30" customHeight="1" x14ac:dyDescent="0.25">
      <c r="A14" s="65"/>
      <c r="B14" s="30" t="s">
        <v>20</v>
      </c>
      <c r="C14" s="27">
        <v>1.5</v>
      </c>
      <c r="D14" s="49"/>
      <c r="E14" s="59"/>
      <c r="F14" s="60" t="s">
        <v>32</v>
      </c>
      <c r="G14" s="61"/>
      <c r="H14" s="61"/>
      <c r="I14" s="61"/>
      <c r="J14" s="61"/>
      <c r="K14" s="61"/>
      <c r="L14" s="62">
        <f>L13+CurrentInvestedAmount</f>
        <v>200.62790000000001</v>
      </c>
      <c r="M14" s="63"/>
      <c r="N14" s="62">
        <f>N13+CurrentInvestedAmount</f>
        <v>201.25579999999999</v>
      </c>
      <c r="O14" s="64"/>
      <c r="Q14" s="53"/>
    </row>
    <row r="15" spans="1:19" ht="30" customHeight="1" thickBot="1" x14ac:dyDescent="0.3">
      <c r="A15" s="38"/>
      <c r="B15" s="39"/>
      <c r="C15" s="40"/>
      <c r="D15" s="41"/>
      <c r="E15" s="42"/>
      <c r="F15" s="43"/>
      <c r="G15" s="43"/>
      <c r="H15" s="44"/>
      <c r="I15" s="44"/>
      <c r="J15" s="44"/>
      <c r="K15" s="44"/>
      <c r="L15" s="44"/>
      <c r="M15" s="44"/>
      <c r="N15" s="44"/>
      <c r="O15" s="45"/>
      <c r="Q15" s="36" t="s">
        <v>48</v>
      </c>
    </row>
    <row r="16" spans="1:19" ht="30" customHeight="1" thickBot="1" x14ac:dyDescent="0.3">
      <c r="A16" s="18"/>
      <c r="B16" s="47" t="s">
        <v>33</v>
      </c>
      <c r="C16" s="28">
        <f>(197*(($C$11/2.205)^0.6))</f>
        <v>2944.6865133132696</v>
      </c>
      <c r="D16" s="41"/>
      <c r="E16" s="48" t="s">
        <v>38</v>
      </c>
      <c r="F16" s="41"/>
      <c r="G16" s="41"/>
      <c r="H16" s="41"/>
      <c r="I16" s="41"/>
      <c r="J16" s="41"/>
      <c r="K16" s="41"/>
      <c r="L16" s="41"/>
      <c r="M16" s="41"/>
      <c r="N16" s="41"/>
      <c r="O16" s="49"/>
      <c r="Q16" s="22" t="s">
        <v>27</v>
      </c>
    </row>
    <row r="17" spans="1:17" ht="30" customHeight="1" x14ac:dyDescent="0.25">
      <c r="A17" s="50"/>
      <c r="D17" s="46"/>
      <c r="F17" s="46"/>
      <c r="H17" s="46"/>
      <c r="I17" s="46"/>
      <c r="J17" s="46"/>
      <c r="K17" s="46"/>
      <c r="L17" s="46"/>
      <c r="M17" s="46"/>
      <c r="N17" s="46"/>
      <c r="O17" s="52"/>
      <c r="Q17" s="53"/>
    </row>
    <row r="18" spans="1:17" ht="30" customHeight="1" x14ac:dyDescent="0.25">
      <c r="A18" s="50"/>
      <c r="C18" s="46"/>
      <c r="D18" s="46"/>
      <c r="E18" s="46"/>
      <c r="F18" s="46"/>
      <c r="H18" s="46"/>
      <c r="I18" s="46"/>
      <c r="J18" s="46"/>
      <c r="K18" s="46"/>
      <c r="L18" s="46"/>
      <c r="M18" s="46"/>
      <c r="N18" s="46"/>
      <c r="O18" s="52"/>
      <c r="Q18" s="53" t="s">
        <v>49</v>
      </c>
    </row>
    <row r="19" spans="1:17" ht="30" customHeight="1" x14ac:dyDescent="0.25">
      <c r="A19" s="50"/>
      <c r="B19" s="54"/>
      <c r="C19" s="55"/>
      <c r="D19" s="46"/>
      <c r="E19" s="46"/>
      <c r="F19" s="46"/>
      <c r="H19" s="46"/>
      <c r="I19" s="46"/>
      <c r="J19" s="46"/>
      <c r="K19" s="46"/>
      <c r="L19" s="46"/>
      <c r="M19" s="46"/>
      <c r="N19" s="46"/>
      <c r="O19" s="52"/>
      <c r="Q19" s="53" t="s">
        <v>50</v>
      </c>
    </row>
    <row r="20" spans="1:17" ht="30" customHeight="1" x14ac:dyDescent="0.2">
      <c r="A20" s="18"/>
      <c r="C20" s="46"/>
      <c r="D20" s="46"/>
      <c r="E20" s="46"/>
      <c r="F20" s="46"/>
      <c r="H20" s="46"/>
      <c r="I20" s="46"/>
      <c r="J20" s="46"/>
      <c r="K20" s="46"/>
      <c r="L20" s="46"/>
      <c r="M20" s="46"/>
      <c r="N20" s="46"/>
      <c r="Q20" s="53"/>
    </row>
    <row r="21" spans="1:17" ht="30" customHeight="1" x14ac:dyDescent="0.2">
      <c r="C21" s="46"/>
      <c r="Q21" s="57">
        <v>45323</v>
      </c>
    </row>
    <row r="22" spans="1:17" ht="22" customHeight="1" x14ac:dyDescent="0.2">
      <c r="Q22" s="58"/>
    </row>
  </sheetData>
  <sheetProtection algorithmName="SHA-512" hashValue="hfeaMo3Oc+J5Ip/YJyehmcx5Na9HVeHvxcjEQUtDfwM5VpsyZ/O+YtOHGeA28DrV24BpZkVEYxOmzklSSLCZyA==" saltValue="abMrRQN2UyrqXhumUKo+2g==" spinCount="100000" sheet="1" objects="1" scenarios="1"/>
  <mergeCells count="4">
    <mergeCell ref="Q2:Q3"/>
    <mergeCell ref="C2:H2"/>
    <mergeCell ref="G7:H7"/>
    <mergeCell ref="L7:N7"/>
  </mergeCells>
  <dataValidations disablePrompts="1" xWindow="270" yWindow="672" count="3">
    <dataValidation allowBlank="1" showInputMessage="1" showErrorMessage="1" promptTitle="Student Loans - Payoff vs Invest" prompt="_x000a_This calculator will help determine which, between paying off student loan and investing, is more advantageous._x000a__x000a_Enter values:_x000a_*Extra monthly amount_x000a_*Loan Info_x000a_*Investment Info" sqref="A2:A5" xr:uid="{00000000-0002-0000-0000-000000000000}"/>
    <dataValidation allowBlank="1" showInputMessage="1" showErrorMessage="1" prompt="Enter loan information." sqref="B7" xr:uid="{00000000-0002-0000-0000-000001000000}"/>
    <dataValidation allowBlank="1" showInputMessage="1" showErrorMessage="1" prompt="Enter investment information." sqref="B10" xr:uid="{00000000-0002-0000-0000-000002000000}"/>
  </dataValidations>
  <hyperlinks>
    <hyperlink ref="Q15" r:id="rId1" xr:uid="{D9E20204-137D-4842-8B0C-CE5E427FA4CC}"/>
    <hyperlink ref="Q16" r:id="rId2" display="mailto:ipic@iastate.edu" xr:uid="{62758924-0C2C-46B5-A44F-4EE04DCE74B8}"/>
  </hyperlinks>
  <pageMargins left="0.7" right="0.7" top="0.75" bottom="0.75" header="0.3" footer="0.3"/>
  <pageSetup scale="56" orientation="landscape" horizontalDpi="4294967293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ECD5B-1909-4D50-9182-CDA6FFBF22CF}">
  <dimension ref="B2:F19"/>
  <sheetViews>
    <sheetView workbookViewId="0">
      <selection activeCell="C11" sqref="C11"/>
    </sheetView>
  </sheetViews>
  <sheetFormatPr baseColWidth="10" defaultColWidth="8.83203125" defaultRowHeight="15" x14ac:dyDescent="0.2"/>
  <cols>
    <col min="2" max="2" width="32.1640625" bestFit="1" customWidth="1"/>
    <col min="3" max="3" width="21.5" bestFit="1" customWidth="1"/>
    <col min="6" max="6" width="31.6640625" style="1" bestFit="1" customWidth="1"/>
  </cols>
  <sheetData>
    <row r="2" spans="2:6" ht="17" x14ac:dyDescent="0.2">
      <c r="B2" t="s">
        <v>0</v>
      </c>
      <c r="C2" t="s">
        <v>1</v>
      </c>
    </row>
    <row r="4" spans="2:6" x14ac:dyDescent="0.2">
      <c r="C4" s="2" t="s">
        <v>2</v>
      </c>
      <c r="D4" s="2"/>
      <c r="E4" s="2" t="s">
        <v>3</v>
      </c>
    </row>
    <row r="5" spans="2:6" x14ac:dyDescent="0.2">
      <c r="B5" t="s">
        <v>4</v>
      </c>
      <c r="C5">
        <v>60</v>
      </c>
      <c r="E5" s="3">
        <f>C5/2.205</f>
        <v>27.210884353741495</v>
      </c>
      <c r="F5" s="4" t="s">
        <v>5</v>
      </c>
    </row>
    <row r="6" spans="2:6" x14ac:dyDescent="0.2">
      <c r="F6" s="4"/>
    </row>
    <row r="7" spans="2:6" x14ac:dyDescent="0.2">
      <c r="B7" t="s">
        <v>6</v>
      </c>
      <c r="C7">
        <v>1451</v>
      </c>
      <c r="E7" s="3">
        <f>C7*2.205</f>
        <v>3199.4549999999999</v>
      </c>
      <c r="F7" s="4" t="s">
        <v>7</v>
      </c>
    </row>
    <row r="8" spans="2:6" x14ac:dyDescent="0.2">
      <c r="F8" s="4"/>
    </row>
    <row r="9" spans="2:6" x14ac:dyDescent="0.2">
      <c r="F9" s="4"/>
    </row>
    <row r="10" spans="2:6" x14ac:dyDescent="0.2">
      <c r="B10" t="s">
        <v>8</v>
      </c>
      <c r="C10" s="3">
        <f>(197*((C5/2.205)^0.6))/2.205</f>
        <v>648.48991465613449</v>
      </c>
      <c r="E10" s="3">
        <f>197*((E5^0.6))</f>
        <v>1429.9202618167765</v>
      </c>
      <c r="F10" s="4" t="s">
        <v>9</v>
      </c>
    </row>
    <row r="11" spans="2:6" x14ac:dyDescent="0.2">
      <c r="F11" s="4"/>
    </row>
    <row r="12" spans="2:6" x14ac:dyDescent="0.2">
      <c r="B12" t="s">
        <v>10</v>
      </c>
      <c r="C12" s="5">
        <f>C7/(C10*2.205)</f>
        <v>1.0147418976750777</v>
      </c>
      <c r="E12" s="5">
        <f>E10/E7</f>
        <v>0.44692619893599894</v>
      </c>
      <c r="F12" s="4" t="s">
        <v>11</v>
      </c>
    </row>
    <row r="13" spans="2:6" x14ac:dyDescent="0.2">
      <c r="F13" s="4"/>
    </row>
    <row r="14" spans="2:6" x14ac:dyDescent="0.2">
      <c r="B14" t="s">
        <v>12</v>
      </c>
      <c r="C14" s="5">
        <f>C12*3.2</f>
        <v>3.2471740725602487</v>
      </c>
      <c r="E14" s="5">
        <f>E12*3.2</f>
        <v>1.4301638365951967</v>
      </c>
      <c r="F14" t="s">
        <v>13</v>
      </c>
    </row>
    <row r="16" spans="2:6" x14ac:dyDescent="0.2">
      <c r="C16" s="5"/>
    </row>
    <row r="17" spans="2:2" x14ac:dyDescent="0.2">
      <c r="B17" t="s">
        <v>14</v>
      </c>
    </row>
    <row r="19" spans="2:2" x14ac:dyDescent="0.2">
      <c r="B19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7FB87C-4F48-45A7-BAA0-3E0F2565BF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F2BF73-4A69-4B21-BDD8-B31056C7E489}">
  <ds:schemaRefs>
    <ds:schemaRef ds:uri="16c05727-aa75-4e4a-9b5f-8a80a1165891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230e9df3-be65-4c73-a93b-d1236ebd677e"/>
    <ds:schemaRef ds:uri="http://schemas.openxmlformats.org/package/2006/metadata/core-properties"/>
    <ds:schemaRef ds:uri="http://purl.org/dc/terms/"/>
    <ds:schemaRef ds:uri="71af3243-3dd4-4a8d-8c0d-dd76da1f02a5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A15A6AF-6E9E-4DB0-BEEF-1C70F31092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TM16410092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Calculator</vt:lpstr>
      <vt:lpstr>Sheet1</vt:lpstr>
      <vt:lpstr>AnnualRateOfReturn</vt:lpstr>
      <vt:lpstr>CurrentInvestedAmount</vt:lpstr>
      <vt:lpstr>LoanBalance</vt:lpstr>
      <vt:lpstr>OriginalYearsLoanRepayment</vt:lpstr>
      <vt:lpstr>Calculator!Print_Area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2023-01-31T06:49:50Z</dcterms:created>
  <dcterms:modified xsi:type="dcterms:W3CDTF">2025-02-04T22:09:33Z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